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430" activeTab="1"/>
  </bookViews>
  <sheets>
    <sheet name="模板" sheetId="2" r:id="rId1"/>
    <sheet name="商务费用表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商务费用表!$A$3:$AE$59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<sst xmlns="http://schemas.openxmlformats.org/spreadsheetml/2006/main" count="527" uniqueCount="187">
  <si>
    <t>商务费用报备申请单</t>
  </si>
  <si>
    <t>毛利分布情况</t>
  </si>
  <si>
    <t>实际支付</t>
  </si>
  <si>
    <t>报备编号</t>
  </si>
  <si>
    <t>项目报备时间</t>
  </si>
  <si>
    <t>销售公司名称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</si>
  <si>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</si>
  <si>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</si>
  <si>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</si>
  <si>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</si>
  <si>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</si>
  <si>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</si>
  <si>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</si>
  <si>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</si>
  <si>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</si>
  <si>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</si>
  <si>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</si>
  <si>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</si>
  <si>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</si>
  <si>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总报告费用额</t>
  </si>
  <si>
    <t>费用率</t>
  </si>
  <si>
    <t>初定毛利率</t>
  </si>
  <si>
    <t>基准毛利率</t>
  </si>
  <si>
    <t>基本费率</t>
  </si>
  <si>
    <t>最低毛利率</t>
  </si>
  <si>
    <t>毛利异常</t>
  </si>
  <si>
    <t>申请支付商务费用</t>
  </si>
  <si>
    <t>实际毛利率</t>
  </si>
  <si>
    <t>订单号</t>
  </si>
  <si>
    <t>备注</t>
  </si>
  <si>
    <t>差额</t>
  </si>
  <si>
    <t>申请付款月份</t>
  </si>
  <si>
    <t>2023.12.31</t>
  </si>
  <si>
    <t>深圳福达通</t>
  </si>
  <si>
    <t>洪文泽</t>
  </si>
  <si>
    <t>电动总成</t>
  </si>
  <si>
    <t>王新田</t>
  </si>
  <si>
    <r>
      <rPr>
        <sz val="11"/>
        <rFont val="等线"/>
        <charset val="134"/>
      </rPr>
      <t>MV-FDT911-NR</t>
    </r>
    <r>
      <rPr>
        <sz val="11"/>
        <rFont val="Arial"/>
        <charset val="134"/>
      </rPr>
      <t>_</t>
    </r>
    <r>
      <rPr>
        <sz val="11"/>
        <rFont val="等线"/>
        <charset val="134"/>
      </rPr>
      <t>x005f_x0002_U_有线手持式</t>
    </r>
  </si>
  <si>
    <t>海康7010N</t>
  </si>
  <si>
    <t>5015655535共10个</t>
  </si>
  <si>
    <t>2023.5.19</t>
  </si>
  <si>
    <t>抚州高压电气</t>
  </si>
  <si>
    <t>康金云</t>
  </si>
  <si>
    <t>预计6月份</t>
  </si>
  <si>
    <t>TSC  TP6830T</t>
  </si>
  <si>
    <t>TSC- TP6830T  300dpi 带剥离回卷</t>
  </si>
  <si>
    <t>骧腾一体机</t>
  </si>
  <si>
    <t>腾马</t>
  </si>
  <si>
    <t>宁乡电池工厂</t>
  </si>
  <si>
    <t>邓立勃</t>
  </si>
  <si>
    <t>J20-B</t>
  </si>
  <si>
    <t>海康3013-SR-U</t>
  </si>
  <si>
    <t>5911045015/5910897182</t>
  </si>
  <si>
    <t>7月份开票100台/8月份开票10台</t>
  </si>
  <si>
    <t>2023.6.29</t>
  </si>
  <si>
    <t>雨花电动总成</t>
  </si>
  <si>
    <t>准备在内部商场采购</t>
  </si>
  <si>
    <t>骧腾FV20-13读码器</t>
  </si>
  <si>
    <t>海康ID2013</t>
  </si>
  <si>
    <t>5014664386  5014778531  共13个</t>
  </si>
  <si>
    <t>看能不能直接在内部商场购买</t>
  </si>
  <si>
    <t>12.1寸全铝电容,I5-11代（1135G7）</t>
  </si>
  <si>
    <t>平田</t>
  </si>
  <si>
    <t>5015806662 5015806659 5015806656 5015806654 5015806652共5个</t>
  </si>
  <si>
    <t>2023.7.10</t>
  </si>
  <si>
    <t>刘涵政</t>
  </si>
  <si>
    <t>XT/骧腾 对讲机 HT31 430~440MHz 黑色2W 台</t>
  </si>
  <si>
    <t>骧腾</t>
  </si>
  <si>
    <t>2023.9.1</t>
  </si>
  <si>
    <t>雨花电源工厂</t>
  </si>
  <si>
    <t>万顺利</t>
  </si>
  <si>
    <t>9月份</t>
  </si>
  <si>
    <t>IPPC-2115</t>
  </si>
  <si>
    <t>骧腾IPPC-2115</t>
  </si>
  <si>
    <t>279991726415</t>
  </si>
  <si>
    <t>工业平板</t>
  </si>
  <si>
    <t>2023.9.23</t>
  </si>
  <si>
    <t>9月-10月</t>
  </si>
  <si>
    <t>MX-8068MB</t>
  </si>
  <si>
    <t>海康7010</t>
  </si>
  <si>
    <t>5015655535  10个</t>
  </si>
  <si>
    <t>W10PRO</t>
  </si>
  <si>
    <t>280995168384  5个</t>
  </si>
  <si>
    <t>P10PRO</t>
  </si>
  <si>
    <t>安卓工业平板</t>
  </si>
  <si>
    <t>282622404174  10台</t>
  </si>
  <si>
    <t>IPPC-1885</t>
  </si>
  <si>
    <t>工控一体机</t>
  </si>
  <si>
    <t>281408030406  25台</t>
  </si>
  <si>
    <t>2023.9.18</t>
  </si>
  <si>
    <t>济南电池</t>
  </si>
  <si>
    <t>杨博凯</t>
  </si>
  <si>
    <t>骧腾6880</t>
  </si>
  <si>
    <t>IDATA  T1</t>
  </si>
  <si>
    <t>2023.8.10</t>
  </si>
  <si>
    <t>8月份</t>
  </si>
  <si>
    <t>H391N-C</t>
  </si>
  <si>
    <t>H29C串口版</t>
  </si>
  <si>
    <t>2023.9.25</t>
  </si>
  <si>
    <t>雨花线束</t>
  </si>
  <si>
    <t>陆思宏</t>
  </si>
  <si>
    <t>10月份</t>
  </si>
  <si>
    <t>工控一体机15寸/256G固态硬盘/CPU英特尔i78代8线程主频＞1.9HZ以</t>
  </si>
  <si>
    <t>望城比亚迪</t>
  </si>
  <si>
    <t>余文涛</t>
  </si>
  <si>
    <t>HD7100</t>
  </si>
  <si>
    <t>SH-400</t>
  </si>
  <si>
    <t>陈佳</t>
  </si>
  <si>
    <t>TT065-60</t>
  </si>
  <si>
    <t>J16</t>
  </si>
  <si>
    <t>准备用H100W代替</t>
  </si>
  <si>
    <t>H100W</t>
  </si>
  <si>
    <t>2023.10.19</t>
  </si>
  <si>
    <t>抚州线束工厂</t>
  </si>
  <si>
    <t>XINAGTENG-L220</t>
  </si>
  <si>
    <t>海康3013B</t>
  </si>
  <si>
    <t>278943981687  10个</t>
  </si>
  <si>
    <t>2023.10.30</t>
  </si>
  <si>
    <t>湘潭线束</t>
  </si>
  <si>
    <t>张雷</t>
  </si>
  <si>
    <t>11月份</t>
  </si>
  <si>
    <t>2023.11.2</t>
  </si>
  <si>
    <t>骧腾610L</t>
  </si>
  <si>
    <t>工控机</t>
  </si>
  <si>
    <t>285972912490  285647542277</t>
  </si>
  <si>
    <t>2023.11.8</t>
  </si>
  <si>
    <t>5015655495 5015937299   共20个</t>
  </si>
  <si>
    <t>IDATA P1</t>
  </si>
  <si>
    <t>285972977994 283840488434共6个</t>
  </si>
  <si>
    <t>5016063110 5016055181 5016039140共73个</t>
  </si>
  <si>
    <t>11-12月</t>
  </si>
  <si>
    <t>H880</t>
  </si>
  <si>
    <t>2023.11.10</t>
  </si>
  <si>
    <t>雨花线束工厂</t>
  </si>
  <si>
    <t>雨花注塑车间</t>
  </si>
  <si>
    <t>4100178838  40台</t>
  </si>
  <si>
    <t>雨花减震器工厂</t>
  </si>
  <si>
    <t>寻彬彬</t>
  </si>
  <si>
    <t>5016316237  5016193545  5016144563  5016031003  5016017737   共62台</t>
  </si>
  <si>
    <t>KP-506M-USB</t>
  </si>
  <si>
    <t>海康3016PM</t>
  </si>
  <si>
    <t/>
  </si>
  <si>
    <t>2023.11.17</t>
  </si>
  <si>
    <t>5016063509 5016234530 5016241651 5016215176  共93</t>
  </si>
  <si>
    <t>2023.11.24</t>
  </si>
  <si>
    <t>12月份</t>
  </si>
  <si>
    <t>TT065-62</t>
  </si>
  <si>
    <t>5016435239 5016193156 共24个</t>
  </si>
  <si>
    <t>5016313009   15台</t>
  </si>
  <si>
    <t>抚州电动总成</t>
  </si>
  <si>
    <t>陈俊峰</t>
  </si>
  <si>
    <t>H100W（济南下单）</t>
  </si>
  <si>
    <t>5016291763  10把</t>
  </si>
  <si>
    <t>5016133990  17台</t>
  </si>
  <si>
    <t>11-12月份</t>
  </si>
  <si>
    <t>工业落地式触摸屏一体机</t>
  </si>
  <si>
    <t>嵌入式一体机</t>
  </si>
  <si>
    <t>宁乡电动总成</t>
  </si>
  <si>
    <t>王辉</t>
  </si>
  <si>
    <t>11月份-1月</t>
  </si>
  <si>
    <t>跟上次陈佳的是一个单</t>
  </si>
  <si>
    <t>5016144563 5016152412  只有20台</t>
  </si>
  <si>
    <t>2023.12.5</t>
  </si>
  <si>
    <t>（震坤行）</t>
  </si>
  <si>
    <t>王军</t>
  </si>
  <si>
    <t>XT-9880</t>
  </si>
  <si>
    <t>T1</t>
  </si>
  <si>
    <t>284315859067  20台</t>
  </si>
  <si>
    <t>286359978624  3台285906780239   1台</t>
  </si>
  <si>
    <t>286357018754  5台</t>
  </si>
  <si>
    <t>5016313085  7台</t>
  </si>
  <si>
    <t>2023.12.7</t>
  </si>
  <si>
    <t>286372985732  3台</t>
  </si>
  <si>
    <t>2023.12.13</t>
  </si>
  <si>
    <t>海康7010B U口</t>
  </si>
  <si>
    <t>5016515054   8台</t>
  </si>
  <si>
    <t>海康7010B 网口</t>
  </si>
  <si>
    <t>抚州亚晟</t>
  </si>
  <si>
    <t>许言</t>
  </si>
  <si>
    <t>济南</t>
  </si>
  <si>
    <t>20-30</t>
  </si>
  <si>
    <t>安徽</t>
  </si>
  <si>
    <t>5016500401  15台</t>
  </si>
  <si>
    <t>2023.12.15</t>
  </si>
  <si>
    <t>XiangTeng-L220</t>
  </si>
  <si>
    <t>3013B-05N-R1L</t>
  </si>
  <si>
    <t>5016455317  10把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</si>
</sst>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name val="宋体"/>
      <charset val="134"/>
      <scheme val="minor"/>
    </font>
    <font>
      <sz val="10"/>
      <name val="等线"/>
      <charset val="134"/>
    </font>
    <font>
      <sz val="9"/>
      <name val="Microsoft YaHei"/>
      <charset val="134"/>
    </font>
    <font>
      <sz val="9"/>
      <color rgb="FF333333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B584D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12" applyNumberFormat="0" applyAlignment="0" applyProtection="0">
      <alignment vertical="center"/>
    </xf>
    <xf numFmtId="0" fontId="15" fillId="9" borderId="13" applyNumberFormat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17" fillId="10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58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9" fontId="1" fillId="3" borderId="2" xfId="3" applyFont="1" applyFill="1" applyBorder="1" applyAlignment="1" applyProtection="1">
      <alignment horizontal="center" vertical="center"/>
      <protection hidden="1"/>
    </xf>
    <xf numFmtId="9" fontId="1" fillId="3" borderId="3" xfId="3" applyFont="1" applyFill="1" applyBorder="1" applyAlignment="1" applyProtection="1">
      <alignment horizontal="center" vertical="center"/>
      <protection hidden="1"/>
    </xf>
    <xf numFmtId="9" fontId="1" fillId="3" borderId="4" xfId="3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9" fontId="1" fillId="3" borderId="5" xfId="3" applyFont="1" applyFill="1" applyBorder="1" applyAlignment="1" applyProtection="1">
      <alignment horizontal="center" vertical="center"/>
      <protection hidden="1"/>
    </xf>
    <xf numFmtId="9" fontId="1" fillId="3" borderId="6" xfId="3" applyFont="1" applyFill="1" applyBorder="1" applyAlignment="1" applyProtection="1">
      <alignment horizontal="center" vertical="center"/>
      <protection hidden="1"/>
    </xf>
    <xf numFmtId="9" fontId="1" fillId="3" borderId="7" xfId="3" applyFont="1" applyFill="1" applyBorder="1" applyAlignment="1" applyProtection="1">
      <alignment horizontal="center" vertical="center"/>
      <protection hidden="1"/>
    </xf>
    <xf numFmtId="9" fontId="1" fillId="3" borderId="0" xfId="3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 vertical="center" wrapText="1"/>
    </xf>
    <xf numFmtId="9" fontId="1" fillId="3" borderId="1" xfId="3" applyFont="1" applyFill="1" applyBorder="1" applyAlignment="1" applyProtection="1">
      <alignment horizontal="left" vertical="center" wrapText="1"/>
      <protection hidden="1"/>
    </xf>
    <xf numFmtId="0" fontId="3" fillId="3" borderId="1" xfId="0" applyFont="1" applyFill="1" applyBorder="1" applyAlignment="1" applyProtection="1">
      <alignment horizontal="left" vertical="center" wrapText="1" shrinkToFit="1"/>
      <protection hidden="1"/>
    </xf>
    <xf numFmtId="10" fontId="1" fillId="3" borderId="1" xfId="3" applyNumberFormat="1" applyFont="1" applyFill="1" applyBorder="1" applyAlignment="1" applyProtection="1">
      <alignment horizontal="left" vertical="center" wrapText="1" shrinkToFi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>
      <alignment horizontal="right" vertical="center" wrapText="1"/>
    </xf>
    <xf numFmtId="10" fontId="1" fillId="0" borderId="1" xfId="3" applyNumberFormat="1" applyFont="1" applyFill="1" applyBorder="1" applyAlignment="1" applyProtection="1">
      <alignment horizontal="right" vertical="center"/>
    </xf>
    <xf numFmtId="10" fontId="1" fillId="4" borderId="1" xfId="3" applyNumberFormat="1" applyFont="1" applyFill="1" applyBorder="1" applyAlignment="1" applyProtection="1">
      <alignment horizontal="right" vertical="center"/>
      <protection hidden="1"/>
    </xf>
    <xf numFmtId="9" fontId="1" fillId="4" borderId="1" xfId="3" applyFont="1" applyFill="1" applyBorder="1" applyAlignment="1" applyProtection="1">
      <alignment horizontal="right" vertical="center"/>
      <protection hidden="1"/>
    </xf>
    <xf numFmtId="9" fontId="1" fillId="4" borderId="1" xfId="3" applyNumberFormat="1" applyFont="1" applyFill="1" applyBorder="1" applyAlignment="1" applyProtection="1">
      <alignment horizontal="right" vertical="center"/>
      <protection hidden="1"/>
    </xf>
    <xf numFmtId="10" fontId="1" fillId="4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3" borderId="1" xfId="0" applyFont="1" applyFill="1" applyBorder="1" applyAlignment="1" applyProtection="1">
      <alignment horizontal="right" vertical="center"/>
      <protection hidden="1"/>
    </xf>
    <xf numFmtId="10" fontId="1" fillId="0" borderId="1" xfId="3" applyNumberFormat="1" applyFont="1" applyFill="1" applyBorder="1" applyProtection="1">
      <alignment vertical="center"/>
    </xf>
    <xf numFmtId="0" fontId="1" fillId="3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10" fontId="1" fillId="3" borderId="1" xfId="3" applyNumberFormat="1" applyFont="1" applyFill="1" applyBorder="1" applyAlignment="1">
      <alignment horizontal="right" vertical="center" shrinkToFit="1"/>
    </xf>
    <xf numFmtId="0" fontId="4" fillId="3" borderId="1" xfId="0" applyFont="1" applyFill="1" applyBorder="1" applyAlignment="1">
      <alignment horizontal="right" vertical="center" wrapText="1"/>
    </xf>
    <xf numFmtId="57" fontId="1" fillId="0" borderId="0" xfId="0" applyNumberFormat="1" applyFont="1" applyFill="1" applyAlignment="1">
      <alignment vertical="center"/>
    </xf>
    <xf numFmtId="0" fontId="1" fillId="3" borderId="1" xfId="0" applyNumberFormat="1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right" vertical="center"/>
    </xf>
    <xf numFmtId="0" fontId="0" fillId="5" borderId="1" xfId="0" applyFill="1" applyBorder="1" applyProtection="1">
      <alignment vertical="center"/>
    </xf>
    <xf numFmtId="0" fontId="0" fillId="5" borderId="1" xfId="0" applyFill="1" applyBorder="1" applyAlignment="1" applyProtection="1">
      <alignment vertical="center" wrapText="1"/>
    </xf>
    <xf numFmtId="0" fontId="0" fillId="5" borderId="0" xfId="0" applyFill="1" applyProtection="1">
      <alignment vertical="center"/>
    </xf>
    <xf numFmtId="0" fontId="5" fillId="0" borderId="0" xfId="0" applyFont="1">
      <alignment vertical="center"/>
    </xf>
    <xf numFmtId="0" fontId="0" fillId="5" borderId="0" xfId="0" applyFill="1" applyAlignment="1" applyProtection="1">
      <alignment vertical="center" wrapText="1"/>
    </xf>
    <xf numFmtId="0" fontId="1" fillId="6" borderId="1" xfId="0" applyFont="1" applyFill="1" applyBorder="1" applyAlignment="1">
      <alignment horizontal="left" vertical="center" wrapText="1"/>
    </xf>
    <xf numFmtId="10" fontId="1" fillId="6" borderId="1" xfId="0" applyNumberFormat="1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 applyProtection="1">
      <alignment horizontal="left" vertical="center" wrapText="1"/>
    </xf>
    <xf numFmtId="9" fontId="1" fillId="6" borderId="1" xfId="3" applyFont="1" applyFill="1" applyBorder="1" applyAlignment="1" applyProtection="1">
      <alignment horizontal="left" vertical="center" wrapText="1"/>
      <protection hidden="1"/>
    </xf>
    <xf numFmtId="0" fontId="3" fillId="6" borderId="1" xfId="0" applyFont="1" applyFill="1" applyBorder="1" applyAlignment="1" applyProtection="1">
      <alignment horizontal="left" vertical="center" wrapText="1" shrinkToFit="1"/>
      <protection hidden="1"/>
    </xf>
    <xf numFmtId="10" fontId="1" fillId="6" borderId="1" xfId="3" applyNumberFormat="1" applyFont="1" applyFill="1" applyBorder="1" applyAlignment="1" applyProtection="1">
      <alignment horizontal="left" vertical="center" wrapText="1" shrinkToFit="1"/>
      <protection hidden="1"/>
    </xf>
    <xf numFmtId="10" fontId="1" fillId="0" borderId="1" xfId="3" applyNumberFormat="1" applyFont="1" applyFill="1" applyBorder="1" applyAlignment="1" applyProtection="1">
      <alignment horizontal="right" vertical="center"/>
      <protection hidden="1"/>
    </xf>
    <xf numFmtId="9" fontId="1" fillId="0" borderId="1" xfId="3" applyFont="1" applyFill="1" applyBorder="1" applyAlignment="1" applyProtection="1">
      <alignment horizontal="right" vertical="center"/>
      <protection hidden="1"/>
    </xf>
    <xf numFmtId="9" fontId="1" fillId="0" borderId="1" xfId="3" applyNumberFormat="1" applyFont="1" applyFill="1" applyBorder="1" applyAlignment="1" applyProtection="1">
      <alignment horizontal="right" vertical="center"/>
      <protection hidden="1"/>
    </xf>
    <xf numFmtId="10" fontId="1" fillId="0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0" borderId="1" xfId="0" applyFont="1" applyFill="1" applyBorder="1" applyAlignment="1" applyProtection="1">
      <alignment horizontal="right" vertical="center"/>
      <protection hidden="1"/>
    </xf>
    <xf numFmtId="0" fontId="1" fillId="6" borderId="0" xfId="0" applyFont="1" applyFill="1" applyAlignment="1">
      <alignment horizontal="right" vertical="center" wrapText="1"/>
    </xf>
    <xf numFmtId="10" fontId="1" fillId="0" borderId="1" xfId="3" applyNumberFormat="1" applyFont="1" applyFill="1" applyBorder="1" applyAlignment="1">
      <alignment horizontal="right" vertical="center" shrinkToFit="1"/>
    </xf>
    <xf numFmtId="0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1" fillId="3" borderId="1" xfId="0" applyNumberFormat="1" applyFont="1" applyFill="1" applyBorder="1" applyAlignment="1" applyProtection="1" quotePrefix="1">
      <alignment horizontal="right" vertical="center"/>
    </xf>
    <xf numFmtId="0" fontId="1" fillId="3" borderId="1" xfId="0" applyFont="1" applyFill="1" applyBorder="1" applyAlignment="1" applyProtection="1" quotePrefix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B584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c\Desktop\&#21830;&#21153;&#36153;&#29992;&#25253;&#2279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c\Desktop\&#21830;&#21153;&#36153;&#29992;&#25253;&#22791;_7b0a70ba-d9e5-4a88-9b91-71b6ddb6925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085;&#24120;&#36164;&#26009;\&#21830;&#21153;&#36153;&#29992;&#25253;&#22791;\&#21830;&#21153;&#36153;&#29992;&#25253;&#22791;-&#27719;&#2463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商务费用报备申请单"/>
      <sheetName val="商务费用支付申请"/>
    </sheetNames>
    <sheetDataSet>
      <sheetData sheetId="0" refreshError="1"/>
      <sheetData sheetId="1" refreshError="1">
        <row r="1">
          <cell r="A1" t="str">
            <v>报备编号</v>
          </cell>
          <cell r="B1" t="str">
            <v>订单号</v>
          </cell>
        </row>
        <row r="2">
          <cell r="A2">
            <v>230501</v>
          </cell>
          <cell r="B2" t="str">
            <v>700025XXX</v>
          </cell>
        </row>
        <row r="3">
          <cell r="B3">
            <v>5910125109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商务费用报备申请单"/>
      <sheetName val="商务费用支付申请"/>
    </sheetNames>
    <sheetDataSet>
      <sheetData sheetId="0" refreshError="1"/>
      <sheetData sheetId="1" refreshError="1">
        <row r="1">
          <cell r="A1" t="str">
            <v>报备编号</v>
          </cell>
        </row>
        <row r="1">
          <cell r="C1" t="str">
            <v>商务费用</v>
          </cell>
        </row>
        <row r="2">
          <cell r="A2">
            <v>230501</v>
          </cell>
        </row>
        <row r="2">
          <cell r="C2">
            <v>10000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商务费用报备申请单"/>
      <sheetName val="商务费用报备申请单 (2)"/>
      <sheetName val="商务费用支付申请"/>
      <sheetName val="Sheet1"/>
    </sheetNames>
    <sheetDataSet>
      <sheetData sheetId="0"/>
      <sheetData sheetId="1"/>
      <sheetData sheetId="2">
        <row r="1">
          <cell r="A1" t="str">
            <v>报备编号</v>
          </cell>
        </row>
        <row r="1">
          <cell r="C1" t="str">
            <v>商务费用</v>
          </cell>
        </row>
        <row r="2">
          <cell r="A2">
            <v>20230512</v>
          </cell>
        </row>
        <row r="2">
          <cell r="C2">
            <v>29400</v>
          </cell>
        </row>
        <row r="3">
          <cell r="A3">
            <v>20230513</v>
          </cell>
        </row>
        <row r="3">
          <cell r="C3">
            <v>27135</v>
          </cell>
        </row>
        <row r="4">
          <cell r="A4">
            <v>20230514</v>
          </cell>
        </row>
        <row r="4">
          <cell r="C4">
            <v>15750</v>
          </cell>
        </row>
        <row r="5">
          <cell r="A5">
            <v>20230515</v>
          </cell>
        </row>
        <row r="5">
          <cell r="C5">
            <v>8000</v>
          </cell>
        </row>
        <row r="6">
          <cell r="A6">
            <v>20230516</v>
          </cell>
        </row>
        <row r="6">
          <cell r="C6">
            <v>6700</v>
          </cell>
        </row>
        <row r="7">
          <cell r="A7">
            <v>20221001</v>
          </cell>
        </row>
        <row r="7">
          <cell r="C7">
            <v>3000</v>
          </cell>
        </row>
        <row r="8">
          <cell r="A8">
            <v>20221202</v>
          </cell>
        </row>
        <row r="8">
          <cell r="C8">
            <v>19600</v>
          </cell>
        </row>
        <row r="9">
          <cell r="A9">
            <v>20230301</v>
          </cell>
        </row>
        <row r="9">
          <cell r="C9">
            <v>6000</v>
          </cell>
        </row>
        <row r="10">
          <cell r="A10">
            <v>20230302</v>
          </cell>
        </row>
        <row r="10">
          <cell r="C10">
            <v>400</v>
          </cell>
        </row>
        <row r="11">
          <cell r="A11">
            <v>20230303</v>
          </cell>
        </row>
        <row r="11">
          <cell r="C11">
            <v>600</v>
          </cell>
        </row>
        <row r="12">
          <cell r="A12">
            <v>20230304</v>
          </cell>
        </row>
        <row r="12">
          <cell r="C12">
            <v>2000</v>
          </cell>
        </row>
        <row r="13">
          <cell r="A13">
            <v>20230305</v>
          </cell>
        </row>
        <row r="13">
          <cell r="C13">
            <v>1000</v>
          </cell>
        </row>
        <row r="14">
          <cell r="A14">
            <v>20230306</v>
          </cell>
        </row>
        <row r="14">
          <cell r="C14">
            <v>1000</v>
          </cell>
        </row>
        <row r="15">
          <cell r="A15">
            <v>20230308</v>
          </cell>
        </row>
        <row r="15">
          <cell r="C15">
            <v>3000</v>
          </cell>
        </row>
        <row r="16">
          <cell r="A16">
            <v>20230309</v>
          </cell>
        </row>
        <row r="16">
          <cell r="C16">
            <v>6000</v>
          </cell>
        </row>
        <row r="17">
          <cell r="A17">
            <v>20230310</v>
          </cell>
        </row>
        <row r="17">
          <cell r="C17">
            <v>1000</v>
          </cell>
        </row>
        <row r="18">
          <cell r="A18">
            <v>20230401</v>
          </cell>
        </row>
        <row r="18">
          <cell r="C18">
            <v>3000</v>
          </cell>
        </row>
        <row r="19">
          <cell r="A19">
            <v>20230402</v>
          </cell>
        </row>
        <row r="19">
          <cell r="C19">
            <v>4000</v>
          </cell>
        </row>
        <row r="20">
          <cell r="A20">
            <v>20230502</v>
          </cell>
        </row>
        <row r="20">
          <cell r="C20">
            <v>12000</v>
          </cell>
        </row>
        <row r="21">
          <cell r="A21">
            <v>20230529</v>
          </cell>
        </row>
        <row r="21">
          <cell r="C21">
            <v>700</v>
          </cell>
        </row>
        <row r="22">
          <cell r="A22">
            <v>20230611</v>
          </cell>
        </row>
        <row r="22">
          <cell r="C22">
            <v>500</v>
          </cell>
        </row>
        <row r="23">
          <cell r="A23">
            <v>20230530</v>
          </cell>
        </row>
        <row r="23">
          <cell r="C23">
            <v>2000</v>
          </cell>
        </row>
        <row r="24">
          <cell r="A24">
            <v>20230534</v>
          </cell>
        </row>
        <row r="24">
          <cell r="C24">
            <v>2000</v>
          </cell>
        </row>
        <row r="25">
          <cell r="A25">
            <v>20230535</v>
          </cell>
        </row>
        <row r="25">
          <cell r="C25">
            <v>2000</v>
          </cell>
        </row>
        <row r="26">
          <cell r="A26">
            <v>20230536</v>
          </cell>
        </row>
        <row r="26">
          <cell r="C26">
            <v>2000</v>
          </cell>
        </row>
        <row r="27">
          <cell r="A27">
            <v>20230541</v>
          </cell>
        </row>
        <row r="27">
          <cell r="C27">
            <v>1000</v>
          </cell>
        </row>
        <row r="28">
          <cell r="A28">
            <v>20230542</v>
          </cell>
        </row>
        <row r="28">
          <cell r="C28">
            <v>2000</v>
          </cell>
        </row>
        <row r="29">
          <cell r="A29">
            <v>20230543</v>
          </cell>
        </row>
        <row r="29">
          <cell r="C29">
            <v>2000</v>
          </cell>
        </row>
        <row r="30">
          <cell r="A30">
            <v>20230612</v>
          </cell>
        </row>
        <row r="30">
          <cell r="C30">
            <v>2000</v>
          </cell>
        </row>
        <row r="31">
          <cell r="A31">
            <v>20230613</v>
          </cell>
        </row>
        <row r="31">
          <cell r="C31">
            <v>1310</v>
          </cell>
        </row>
        <row r="32">
          <cell r="A32">
            <v>20230614</v>
          </cell>
        </row>
        <row r="32">
          <cell r="C32">
            <v>2230</v>
          </cell>
        </row>
        <row r="33">
          <cell r="A33">
            <v>20230201</v>
          </cell>
        </row>
        <row r="33">
          <cell r="C33">
            <v>7500</v>
          </cell>
        </row>
        <row r="34">
          <cell r="A34">
            <v>20230202</v>
          </cell>
        </row>
        <row r="34">
          <cell r="C34">
            <v>10500</v>
          </cell>
        </row>
        <row r="35">
          <cell r="A35">
            <v>20230501</v>
          </cell>
        </row>
        <row r="35">
          <cell r="C35">
            <v>4000</v>
          </cell>
        </row>
        <row r="36">
          <cell r="A36">
            <v>20230505</v>
          </cell>
        </row>
        <row r="36">
          <cell r="C36">
            <v>8000</v>
          </cell>
        </row>
        <row r="37">
          <cell r="A37">
            <v>20230526</v>
          </cell>
        </row>
        <row r="37">
          <cell r="C37">
            <v>2000</v>
          </cell>
        </row>
        <row r="38">
          <cell r="A38">
            <v>20230527</v>
          </cell>
        </row>
        <row r="38">
          <cell r="C38">
            <v>8000</v>
          </cell>
        </row>
        <row r="39">
          <cell r="A39">
            <v>20230528</v>
          </cell>
        </row>
        <row r="39">
          <cell r="C39">
            <v>2000</v>
          </cell>
        </row>
        <row r="40">
          <cell r="A40">
            <v>20230517</v>
          </cell>
        </row>
        <row r="40">
          <cell r="C40">
            <v>8000</v>
          </cell>
        </row>
        <row r="41">
          <cell r="A41">
            <v>20221201</v>
          </cell>
        </row>
        <row r="41">
          <cell r="C41">
            <v>18300</v>
          </cell>
        </row>
        <row r="42">
          <cell r="A42">
            <v>20230506</v>
          </cell>
        </row>
        <row r="42">
          <cell r="C42">
            <v>12000</v>
          </cell>
        </row>
        <row r="43">
          <cell r="A43">
            <v>20230507</v>
          </cell>
        </row>
        <row r="43">
          <cell r="C43">
            <v>33000</v>
          </cell>
        </row>
        <row r="44">
          <cell r="A44">
            <v>20230602</v>
          </cell>
        </row>
        <row r="44">
          <cell r="C44">
            <v>2000</v>
          </cell>
        </row>
        <row r="45">
          <cell r="A45">
            <v>20230604</v>
          </cell>
        </row>
        <row r="45">
          <cell r="C45">
            <v>1700</v>
          </cell>
        </row>
        <row r="46">
          <cell r="A46">
            <v>20230605</v>
          </cell>
        </row>
        <row r="46">
          <cell r="C46">
            <v>8200</v>
          </cell>
        </row>
        <row r="47">
          <cell r="A47">
            <v>20230702</v>
          </cell>
        </row>
        <row r="47">
          <cell r="C47">
            <v>6900</v>
          </cell>
        </row>
        <row r="48">
          <cell r="A48">
            <v>20230518</v>
          </cell>
        </row>
        <row r="48">
          <cell r="C48">
            <v>20000</v>
          </cell>
        </row>
        <row r="49">
          <cell r="A49">
            <v>20230525</v>
          </cell>
        </row>
        <row r="49">
          <cell r="C49">
            <v>6000</v>
          </cell>
        </row>
        <row r="50">
          <cell r="A50">
            <v>20230511</v>
          </cell>
        </row>
        <row r="50">
          <cell r="C50">
            <v>8000</v>
          </cell>
        </row>
        <row r="51">
          <cell r="A51">
            <v>20230609</v>
          </cell>
        </row>
        <row r="51">
          <cell r="C51">
            <v>3000</v>
          </cell>
        </row>
        <row r="52">
          <cell r="A52">
            <v>20230616</v>
          </cell>
        </row>
        <row r="52">
          <cell r="C52">
            <v>12000</v>
          </cell>
        </row>
        <row r="53">
          <cell r="A53">
            <v>20230907</v>
          </cell>
        </row>
        <row r="53">
          <cell r="C53">
            <v>11200</v>
          </cell>
        </row>
        <row r="54">
          <cell r="A54">
            <v>20231131</v>
          </cell>
        </row>
        <row r="54">
          <cell r="C54">
            <v>20000</v>
          </cell>
        </row>
        <row r="55">
          <cell r="A55">
            <v>20231131</v>
          </cell>
        </row>
        <row r="55">
          <cell r="C55">
            <v>20000</v>
          </cell>
        </row>
        <row r="56">
          <cell r="A56">
            <v>20230905</v>
          </cell>
        </row>
        <row r="56">
          <cell r="C56">
            <v>8000</v>
          </cell>
        </row>
        <row r="57">
          <cell r="A57">
            <v>20230906</v>
          </cell>
        </row>
        <row r="57">
          <cell r="C57">
            <v>5000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4"/>
  <sheetViews>
    <sheetView workbookViewId="0">
      <selection activeCell="I33" sqref="I33"/>
    </sheetView>
  </sheetViews>
  <sheetFormatPr defaultColWidth="9" defaultRowHeight="14"/>
  <cols>
    <col min="1" max="1" width="9.37272727272727" style="3"/>
    <col min="2" max="2" width="10.1272727272727" style="3" customWidth="1"/>
    <col min="3" max="3" width="10.8727272727273" style="3" customWidth="1"/>
    <col min="4" max="4" width="7" style="3" customWidth="1"/>
    <col min="5" max="5" width="9" style="3"/>
    <col min="6" max="6" width="6.5" style="3" customWidth="1"/>
    <col min="7" max="25" width="9" style="3"/>
    <col min="26" max="26" width="11.5" style="3"/>
    <col min="27" max="16384" width="9" style="3"/>
  </cols>
  <sheetData>
    <row r="1" s="1" customFormat="1" ht="14.25" customHeight="1" spans="1:28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11"/>
      <c r="L1" s="11"/>
      <c r="M1" s="11"/>
      <c r="N1" s="11"/>
      <c r="O1" s="12"/>
      <c r="P1" s="11"/>
      <c r="Q1" s="11"/>
      <c r="R1" s="12"/>
      <c r="S1" s="17" t="s">
        <v>1</v>
      </c>
      <c r="T1" s="17"/>
      <c r="U1" s="18"/>
      <c r="V1" s="19"/>
      <c r="W1" s="18"/>
      <c r="X1" s="20" t="s">
        <v>2</v>
      </c>
      <c r="Y1" s="40"/>
      <c r="Z1" s="41"/>
      <c r="AA1" s="42"/>
      <c r="AB1" s="43"/>
    </row>
    <row r="2" s="1" customFormat="1" ht="14.25" customHeight="1" spans="1:28">
      <c r="A2" s="4"/>
      <c r="B2" s="4"/>
      <c r="C2" s="5"/>
      <c r="D2" s="4"/>
      <c r="E2" s="4"/>
      <c r="F2" s="4"/>
      <c r="G2" s="4"/>
      <c r="H2" s="4"/>
      <c r="I2" s="4"/>
      <c r="J2" s="4"/>
      <c r="K2" s="11"/>
      <c r="L2" s="11"/>
      <c r="M2" s="11"/>
      <c r="N2" s="11"/>
      <c r="O2" s="12"/>
      <c r="P2" s="11"/>
      <c r="Q2" s="11"/>
      <c r="R2" s="12"/>
      <c r="S2" s="21"/>
      <c r="T2" s="21"/>
      <c r="U2" s="22"/>
      <c r="V2" s="23"/>
      <c r="W2" s="24"/>
      <c r="X2" s="25"/>
      <c r="Y2" s="44"/>
      <c r="Z2" s="45"/>
      <c r="AA2" s="42"/>
      <c r="AB2" s="43"/>
    </row>
    <row r="3" s="2" customFormat="1" ht="38" customHeight="1" spans="1:31">
      <c r="A3" s="6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59" t="s">
        <v>16</v>
      </c>
      <c r="O3" s="60" t="s">
        <v>17</v>
      </c>
      <c r="P3" s="6" t="s">
        <v>18</v>
      </c>
      <c r="Q3" s="59" t="s">
        <v>19</v>
      </c>
      <c r="R3" s="61" t="s">
        <v>20</v>
      </c>
      <c r="S3" s="62" t="s">
        <v>21</v>
      </c>
      <c r="T3" s="62" t="s">
        <v>22</v>
      </c>
      <c r="U3" s="62" t="s">
        <v>23</v>
      </c>
      <c r="V3" s="63" t="s">
        <v>24</v>
      </c>
      <c r="W3" s="64" t="s">
        <v>25</v>
      </c>
      <c r="X3" s="30" t="s">
        <v>26</v>
      </c>
      <c r="Y3" s="59" t="s">
        <v>27</v>
      </c>
      <c r="Z3" s="47" t="s">
        <v>28</v>
      </c>
      <c r="AA3" s="41" t="s">
        <v>29</v>
      </c>
      <c r="AB3" s="70" t="s">
        <v>30</v>
      </c>
      <c r="AE3" s="2" t="s">
        <v>31</v>
      </c>
    </row>
    <row r="4" s="1" customFormat="1" ht="14.25" customHeight="1" spans="1:31">
      <c r="A4" s="4">
        <v>20231201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/>
      <c r="H4" s="4"/>
      <c r="I4" s="6" t="s">
        <v>37</v>
      </c>
      <c r="J4" s="4" t="s">
        <v>38</v>
      </c>
      <c r="K4" s="11">
        <v>20</v>
      </c>
      <c r="L4" s="11">
        <v>1221</v>
      </c>
      <c r="M4" s="11">
        <v>3300</v>
      </c>
      <c r="N4" s="11">
        <f>M4-L4</f>
        <v>2079</v>
      </c>
      <c r="O4" s="14">
        <f>IF(AND($N4&lt;&gt;0,$M4&lt;&gt;0),$N4/$M4,"")</f>
        <v>0.63</v>
      </c>
      <c r="P4" s="11">
        <v>100</v>
      </c>
      <c r="Q4" s="31">
        <f>P4*K4</f>
        <v>2000</v>
      </c>
      <c r="R4" s="32">
        <f>IF(AND($P4&lt;&gt;0,$M4&lt;&gt;0),$P4/$M4,"")</f>
        <v>0.0303030303030303</v>
      </c>
      <c r="S4" s="65">
        <f>IF(AND(($N4*$K4-$Q4)&lt;&gt;0,($M4*$K4)&lt;&gt;0),($N4*$K4-$Q4)/($M4*$K4),"")</f>
        <v>0.59969696969697</v>
      </c>
      <c r="T4" s="66">
        <f>IF($C4="深圳福达通",21%,IF($C4="康为",25%,IF($C4="新浪潮",25%,IF($C4="湖南飞英达",24%,IF($C4="志奋领",25%,IF($C4="腾马",25%))))))</f>
        <v>0.21</v>
      </c>
      <c r="U4" s="67">
        <v>0.06</v>
      </c>
      <c r="V4" s="68">
        <f>IF(T4-U4+R4&gt;0,T4-U4+R4,IF(T4-U4+R4=0,""))</f>
        <v>0.18030303030303</v>
      </c>
      <c r="W4" s="68" t="str">
        <f>IF(S4-V4&lt;0,S4-V4,IF(S4-V4&gt;0,""))</f>
        <v/>
      </c>
      <c r="X4" s="69">
        <f>IFERROR(SUMIF([3]商务费用支付申请!$A:$A,$A4,[3]商务费用支付申请!$C:$C),"")</f>
        <v>0</v>
      </c>
      <c r="Y4" s="71">
        <f>IF(AND(($N4*$K4-$X4)&lt;&gt;0,($M4*$K4)&lt;&gt;0),($N4*$K4-$X4)/($M4*$K4),"")</f>
        <v>0.63</v>
      </c>
      <c r="Z4" s="72" t="s">
        <v>39</v>
      </c>
      <c r="AA4" s="73"/>
      <c r="AB4" s="43">
        <f>X4-Q4</f>
        <v>-2000</v>
      </c>
      <c r="AE4" s="51"/>
    </row>
    <row r="5" s="1" customFormat="1" ht="14.25" customHeight="1" spans="1:31">
      <c r="A5" s="4"/>
      <c r="B5" s="4"/>
      <c r="C5" s="5"/>
      <c r="D5" s="4"/>
      <c r="E5" s="4"/>
      <c r="F5" s="4"/>
      <c r="G5" s="4"/>
      <c r="H5" s="4"/>
      <c r="I5" s="4"/>
      <c r="J5" s="4"/>
      <c r="K5" s="11"/>
      <c r="L5" s="11"/>
      <c r="M5" s="11"/>
      <c r="N5" s="11"/>
      <c r="O5" s="14"/>
      <c r="P5" s="11"/>
      <c r="Q5" s="31"/>
      <c r="R5" s="32"/>
      <c r="S5" s="33"/>
      <c r="T5" s="34"/>
      <c r="U5" s="35"/>
      <c r="V5" s="36"/>
      <c r="W5" s="36"/>
      <c r="X5" s="37"/>
      <c r="Y5" s="49"/>
      <c r="Z5" s="50"/>
      <c r="AA5" s="50"/>
      <c r="AB5" s="43"/>
      <c r="AE5" s="51"/>
    </row>
    <row r="6" s="1" customFormat="1" ht="14.25" customHeight="1" spans="1:31">
      <c r="A6" s="4"/>
      <c r="B6" s="4"/>
      <c r="C6" s="5"/>
      <c r="D6" s="4"/>
      <c r="E6" s="4"/>
      <c r="F6" s="4"/>
      <c r="G6" s="4"/>
      <c r="H6" s="4"/>
      <c r="I6" s="4"/>
      <c r="J6" s="4"/>
      <c r="K6" s="11"/>
      <c r="L6" s="11"/>
      <c r="M6" s="11"/>
      <c r="N6" s="11"/>
      <c r="O6" s="14"/>
      <c r="P6" s="11"/>
      <c r="Q6" s="31"/>
      <c r="R6" s="32"/>
      <c r="S6" s="33"/>
      <c r="T6" s="34"/>
      <c r="U6" s="35"/>
      <c r="V6" s="36"/>
      <c r="W6" s="36"/>
      <c r="X6" s="37"/>
      <c r="Y6" s="49"/>
      <c r="Z6" s="50"/>
      <c r="AA6" s="50"/>
      <c r="AB6" s="43"/>
      <c r="AE6" s="51"/>
    </row>
    <row r="7" s="1" customFormat="1" ht="14.25" customHeight="1" spans="1:31">
      <c r="A7" s="4"/>
      <c r="B7" s="4"/>
      <c r="C7" s="5"/>
      <c r="D7" s="4"/>
      <c r="E7" s="4"/>
      <c r="F7" s="4"/>
      <c r="G7" s="4"/>
      <c r="H7" s="4"/>
      <c r="I7" s="4"/>
      <c r="J7" s="4"/>
      <c r="K7" s="11"/>
      <c r="L7" s="11"/>
      <c r="M7" s="11"/>
      <c r="N7" s="11"/>
      <c r="O7" s="14"/>
      <c r="P7" s="11"/>
      <c r="Q7" s="31"/>
      <c r="R7" s="32"/>
      <c r="S7" s="33"/>
      <c r="T7" s="34"/>
      <c r="U7" s="35"/>
      <c r="V7" s="36"/>
      <c r="W7" s="36"/>
      <c r="X7" s="37"/>
      <c r="Y7" s="49"/>
      <c r="Z7" s="50"/>
      <c r="AA7" s="50"/>
      <c r="AB7" s="43"/>
      <c r="AE7" s="51"/>
    </row>
    <row r="8" s="1" customFormat="1" ht="14.25" customHeight="1" spans="1:31">
      <c r="A8" s="4"/>
      <c r="B8" s="4"/>
      <c r="C8" s="5"/>
      <c r="D8" s="4"/>
      <c r="E8" s="4"/>
      <c r="F8" s="4"/>
      <c r="G8" s="4"/>
      <c r="H8" s="4"/>
      <c r="I8" s="9"/>
      <c r="J8" s="9"/>
      <c r="K8" s="9"/>
      <c r="L8" s="9"/>
      <c r="M8" s="9"/>
      <c r="N8" s="9"/>
      <c r="O8" s="15"/>
      <c r="P8" s="9"/>
      <c r="Q8" s="31"/>
      <c r="R8" s="32"/>
      <c r="S8" s="33"/>
      <c r="T8" s="34"/>
      <c r="U8" s="35"/>
      <c r="V8" s="36"/>
      <c r="W8" s="36"/>
      <c r="X8" s="37"/>
      <c r="Y8" s="49"/>
      <c r="Z8" s="50"/>
      <c r="AA8" s="50"/>
      <c r="AB8" s="43"/>
      <c r="AE8" s="51"/>
    </row>
    <row r="9" s="1" customFormat="1" ht="14.25" customHeight="1" spans="1:31">
      <c r="A9" s="4"/>
      <c r="B9" s="4"/>
      <c r="C9" s="5"/>
      <c r="D9" s="4"/>
      <c r="E9" s="4"/>
      <c r="F9" s="4"/>
      <c r="G9" s="4"/>
      <c r="H9" s="4"/>
      <c r="I9" s="6"/>
      <c r="J9" s="4"/>
      <c r="K9" s="11"/>
      <c r="L9" s="11"/>
      <c r="M9" s="11"/>
      <c r="N9" s="11"/>
      <c r="O9" s="14"/>
      <c r="P9" s="11"/>
      <c r="Q9" s="31"/>
      <c r="R9" s="32"/>
      <c r="S9" s="33"/>
      <c r="T9" s="34"/>
      <c r="U9" s="35"/>
      <c r="V9" s="36"/>
      <c r="W9" s="36"/>
      <c r="X9" s="37"/>
      <c r="Y9" s="49"/>
      <c r="Z9" s="52"/>
      <c r="AA9" s="53"/>
      <c r="AB9" s="43"/>
      <c r="AE9" s="51"/>
    </row>
    <row r="10" s="1" customFormat="1" ht="14.25" customHeight="1" spans="1:31">
      <c r="A10" s="4"/>
      <c r="B10" s="4"/>
      <c r="C10" s="5"/>
      <c r="D10" s="4"/>
      <c r="E10" s="4"/>
      <c r="F10" s="4"/>
      <c r="G10" s="4"/>
      <c r="H10" s="4"/>
      <c r="I10" s="6"/>
      <c r="J10" s="4"/>
      <c r="K10" s="11"/>
      <c r="L10" s="11"/>
      <c r="M10" s="11"/>
      <c r="N10" s="11"/>
      <c r="O10" s="14"/>
      <c r="P10" s="11"/>
      <c r="Q10" s="31"/>
      <c r="R10" s="32"/>
      <c r="S10" s="33"/>
      <c r="T10" s="34"/>
      <c r="U10" s="35"/>
      <c r="V10" s="36"/>
      <c r="W10" s="36"/>
      <c r="X10" s="37"/>
      <c r="Y10" s="49"/>
      <c r="Z10" s="52"/>
      <c r="AA10" s="53"/>
      <c r="AB10" s="43"/>
      <c r="AE10" s="51"/>
    </row>
    <row r="11" s="1" customFormat="1" ht="14.25" customHeight="1" spans="1:31">
      <c r="A11" s="4"/>
      <c r="B11" s="4"/>
      <c r="C11" s="5"/>
      <c r="D11" s="4"/>
      <c r="E11" s="4"/>
      <c r="F11" s="4"/>
      <c r="G11" s="4"/>
      <c r="H11" s="8"/>
      <c r="I11" s="6"/>
      <c r="J11" s="4"/>
      <c r="K11" s="11"/>
      <c r="L11" s="11"/>
      <c r="M11" s="11"/>
      <c r="N11" s="11"/>
      <c r="O11" s="14"/>
      <c r="P11" s="11"/>
      <c r="Q11" s="31"/>
      <c r="R11" s="32"/>
      <c r="S11" s="33"/>
      <c r="T11" s="34"/>
      <c r="U11" s="35"/>
      <c r="V11" s="36"/>
      <c r="W11" s="36"/>
      <c r="X11" s="37"/>
      <c r="Y11" s="49"/>
      <c r="Z11" s="50"/>
      <c r="AA11" s="50"/>
      <c r="AB11" s="43"/>
      <c r="AE11" s="51"/>
    </row>
    <row r="12" s="1" customFormat="1" spans="1:31">
      <c r="A12" s="4"/>
      <c r="B12" s="4"/>
      <c r="C12" s="5"/>
      <c r="D12" s="4"/>
      <c r="E12" s="4"/>
      <c r="F12" s="4"/>
      <c r="G12" s="4"/>
      <c r="H12" s="4"/>
      <c r="I12" s="4"/>
      <c r="J12" s="4"/>
      <c r="K12" s="11"/>
      <c r="L12" s="11"/>
      <c r="M12" s="11"/>
      <c r="N12" s="11"/>
      <c r="O12" s="14"/>
      <c r="P12" s="11"/>
      <c r="Q12" s="31"/>
      <c r="R12" s="32"/>
      <c r="S12" s="33"/>
      <c r="T12" s="34"/>
      <c r="U12" s="35"/>
      <c r="V12" s="36"/>
      <c r="W12" s="36"/>
      <c r="X12" s="37"/>
      <c r="Y12" s="49"/>
      <c r="Z12" s="53"/>
      <c r="AA12" s="53"/>
      <c r="AB12" s="43"/>
      <c r="AE12" s="51"/>
    </row>
    <row r="13" s="1" customFormat="1" spans="1:30">
      <c r="A13" s="4"/>
      <c r="B13" s="4"/>
      <c r="C13" s="5"/>
      <c r="D13" s="4"/>
      <c r="E13" s="4"/>
      <c r="F13" s="4"/>
      <c r="G13" s="4"/>
      <c r="H13" s="4"/>
      <c r="I13" s="4"/>
      <c r="J13" s="4"/>
      <c r="K13" s="11"/>
      <c r="L13" s="11"/>
      <c r="M13" s="11"/>
      <c r="N13" s="11"/>
      <c r="O13" s="14"/>
      <c r="P13" s="11"/>
      <c r="Q13" s="31"/>
      <c r="R13" s="32"/>
      <c r="S13" s="33"/>
      <c r="T13" s="34"/>
      <c r="U13" s="35"/>
      <c r="V13" s="36"/>
      <c r="W13" s="36"/>
      <c r="X13" s="37"/>
      <c r="Y13" s="49"/>
      <c r="Z13" s="53"/>
      <c r="AA13" s="53"/>
      <c r="AB13" s="43"/>
      <c r="AD13" s="51"/>
    </row>
    <row r="14" s="1" customFormat="1" spans="1:30">
      <c r="A14" s="4"/>
      <c r="B14" s="4"/>
      <c r="C14" s="5"/>
      <c r="D14" s="4"/>
      <c r="E14" s="4"/>
      <c r="F14" s="4"/>
      <c r="G14" s="4"/>
      <c r="H14" s="4"/>
      <c r="I14" s="4"/>
      <c r="J14" s="4"/>
      <c r="K14" s="11"/>
      <c r="L14" s="11"/>
      <c r="M14" s="11"/>
      <c r="N14" s="11"/>
      <c r="O14" s="14"/>
      <c r="P14" s="11"/>
      <c r="Q14" s="31"/>
      <c r="R14" s="32"/>
      <c r="S14" s="33"/>
      <c r="T14" s="34"/>
      <c r="U14" s="35"/>
      <c r="V14" s="36"/>
      <c r="W14" s="36"/>
      <c r="X14" s="37"/>
      <c r="Y14" s="49"/>
      <c r="Z14" s="52"/>
      <c r="AA14" s="53"/>
      <c r="AB14" s="43"/>
      <c r="AD14" s="51"/>
    </row>
    <row r="15" s="1" customFormat="1" spans="1:30">
      <c r="A15" s="4"/>
      <c r="B15" s="4"/>
      <c r="C15" s="5"/>
      <c r="D15" s="4"/>
      <c r="E15" s="4"/>
      <c r="F15" s="4"/>
      <c r="G15" s="4"/>
      <c r="H15" s="4"/>
      <c r="I15" s="4"/>
      <c r="J15" s="4"/>
      <c r="K15" s="11"/>
      <c r="L15" s="11"/>
      <c r="M15" s="11"/>
      <c r="N15" s="11"/>
      <c r="O15" s="14"/>
      <c r="P15" s="11"/>
      <c r="Q15" s="31"/>
      <c r="R15" s="32"/>
      <c r="S15" s="33"/>
      <c r="T15" s="34"/>
      <c r="U15" s="35"/>
      <c r="V15" s="36"/>
      <c r="W15" s="36"/>
      <c r="X15" s="37"/>
      <c r="Y15" s="49"/>
      <c r="Z15" s="52"/>
      <c r="AA15" s="53"/>
      <c r="AB15" s="43"/>
      <c r="AD15" s="51"/>
    </row>
    <row r="16" s="1" customFormat="1" spans="1:30">
      <c r="A16" s="4"/>
      <c r="B16" s="4"/>
      <c r="C16" s="5"/>
      <c r="D16" s="4"/>
      <c r="E16" s="4"/>
      <c r="F16" s="4"/>
      <c r="G16" s="4"/>
      <c r="H16" s="4"/>
      <c r="I16" s="4"/>
      <c r="J16" s="4"/>
      <c r="K16" s="11"/>
      <c r="L16" s="11"/>
      <c r="M16" s="11"/>
      <c r="N16" s="11"/>
      <c r="O16" s="14"/>
      <c r="P16" s="11"/>
      <c r="Q16" s="31"/>
      <c r="R16" s="32"/>
      <c r="S16" s="33"/>
      <c r="T16" s="34"/>
      <c r="U16" s="35"/>
      <c r="V16" s="36"/>
      <c r="W16" s="36"/>
      <c r="X16" s="37"/>
      <c r="Y16" s="49"/>
      <c r="Z16" s="53"/>
      <c r="AA16" s="53"/>
      <c r="AB16" s="43"/>
      <c r="AD16" s="51"/>
    </row>
    <row r="17" s="1" customFormat="1" spans="1:30">
      <c r="A17" s="4"/>
      <c r="B17" s="4"/>
      <c r="C17" s="5"/>
      <c r="D17" s="4"/>
      <c r="E17" s="4"/>
      <c r="F17" s="4"/>
      <c r="G17" s="4"/>
      <c r="H17" s="4"/>
      <c r="I17" s="4"/>
      <c r="J17" s="4"/>
      <c r="K17" s="11"/>
      <c r="L17" s="11"/>
      <c r="M17" s="11"/>
      <c r="N17" s="11"/>
      <c r="O17" s="14"/>
      <c r="P17" s="11"/>
      <c r="Q17" s="31"/>
      <c r="R17" s="32"/>
      <c r="S17" s="33"/>
      <c r="T17" s="34"/>
      <c r="U17" s="35"/>
      <c r="V17" s="36"/>
      <c r="W17" s="36"/>
      <c r="X17" s="37"/>
      <c r="Y17" s="49"/>
      <c r="Z17" s="53"/>
      <c r="AA17" s="53"/>
      <c r="AB17" s="43"/>
      <c r="AD17" s="51"/>
    </row>
    <row r="18" s="1" customFormat="1" spans="1:30">
      <c r="A18" s="4"/>
      <c r="B18" s="4"/>
      <c r="C18" s="5"/>
      <c r="D18" s="4"/>
      <c r="E18" s="4"/>
      <c r="F18" s="4"/>
      <c r="G18" s="4"/>
      <c r="H18" s="4"/>
      <c r="I18" s="4"/>
      <c r="J18" s="4"/>
      <c r="K18" s="11"/>
      <c r="L18" s="11"/>
      <c r="M18" s="11"/>
      <c r="N18" s="11"/>
      <c r="O18" s="14"/>
      <c r="P18" s="11"/>
      <c r="Q18" s="31"/>
      <c r="R18" s="32"/>
      <c r="S18" s="33"/>
      <c r="T18" s="34"/>
      <c r="U18" s="35"/>
      <c r="V18" s="36"/>
      <c r="W18" s="36"/>
      <c r="X18" s="37"/>
      <c r="Y18" s="49"/>
      <c r="Z18" s="53"/>
      <c r="AA18" s="53"/>
      <c r="AB18" s="43"/>
      <c r="AD18" s="51"/>
    </row>
    <row r="19" s="1" customFormat="1" spans="1:30">
      <c r="A19" s="4"/>
      <c r="B19" s="4"/>
      <c r="C19" s="5"/>
      <c r="D19" s="4"/>
      <c r="E19" s="4"/>
      <c r="F19" s="4"/>
      <c r="G19" s="4"/>
      <c r="H19" s="4"/>
      <c r="I19" s="4"/>
      <c r="J19" s="4"/>
      <c r="K19" s="11"/>
      <c r="L19" s="11"/>
      <c r="M19" s="11"/>
      <c r="N19" s="11"/>
      <c r="O19" s="14"/>
      <c r="P19" s="11"/>
      <c r="Q19" s="31"/>
      <c r="R19" s="32"/>
      <c r="S19" s="33"/>
      <c r="T19" s="34"/>
      <c r="U19" s="35"/>
      <c r="V19" s="36"/>
      <c r="W19" s="36"/>
      <c r="X19" s="37"/>
      <c r="Y19" s="49"/>
      <c r="Z19" s="52"/>
      <c r="AA19" s="53"/>
      <c r="AB19" s="43"/>
      <c r="AD19" s="51"/>
    </row>
    <row r="20" s="1" customFormat="1" spans="1:30">
      <c r="A20" s="4"/>
      <c r="B20" s="4"/>
      <c r="C20" s="5"/>
      <c r="D20" s="4"/>
      <c r="E20" s="4"/>
      <c r="F20" s="4"/>
      <c r="G20" s="4"/>
      <c r="H20" s="4"/>
      <c r="I20" s="4"/>
      <c r="J20" s="4"/>
      <c r="K20" s="11"/>
      <c r="L20" s="11"/>
      <c r="M20" s="11"/>
      <c r="N20" s="11"/>
      <c r="O20" s="14"/>
      <c r="P20" s="11"/>
      <c r="Q20" s="31"/>
      <c r="R20" s="32"/>
      <c r="S20" s="33"/>
      <c r="T20" s="34"/>
      <c r="U20" s="35"/>
      <c r="V20" s="36"/>
      <c r="W20" s="36"/>
      <c r="X20" s="37"/>
      <c r="Y20" s="49"/>
      <c r="Z20" s="53"/>
      <c r="AA20" s="53"/>
      <c r="AB20" s="43"/>
      <c r="AD20" s="51"/>
    </row>
    <row r="21" s="1" customFormat="1" ht="14.25" customHeight="1" spans="1:28">
      <c r="A21" s="4"/>
      <c r="B21" s="9"/>
      <c r="C21" s="5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5"/>
      <c r="P21" s="9"/>
      <c r="Q21" s="31"/>
      <c r="R21" s="38"/>
      <c r="S21" s="33"/>
      <c r="T21" s="34"/>
      <c r="U21" s="35"/>
      <c r="V21" s="36"/>
      <c r="W21" s="36"/>
      <c r="X21" s="39"/>
      <c r="Y21" s="49"/>
      <c r="Z21" s="53"/>
      <c r="AA21" s="53"/>
      <c r="AB21" s="43"/>
    </row>
    <row r="22" s="1" customFormat="1" ht="14.25" customHeight="1" spans="1:28">
      <c r="A22" s="4"/>
      <c r="B22" s="9"/>
      <c r="C22" s="5"/>
      <c r="D22" s="9"/>
      <c r="E22" s="9"/>
      <c r="F22" s="9"/>
      <c r="G22" s="9"/>
      <c r="H22" s="9"/>
      <c r="I22" s="9"/>
      <c r="J22" s="10"/>
      <c r="K22" s="9"/>
      <c r="L22" s="9"/>
      <c r="M22" s="9"/>
      <c r="N22" s="9"/>
      <c r="O22" s="15"/>
      <c r="P22" s="9"/>
      <c r="Q22" s="31"/>
      <c r="R22" s="32"/>
      <c r="S22" s="33"/>
      <c r="T22" s="34"/>
      <c r="U22" s="35"/>
      <c r="V22" s="36"/>
      <c r="W22" s="36"/>
      <c r="X22" s="37"/>
      <c r="Y22" s="49"/>
      <c r="Z22" s="53"/>
      <c r="AA22" s="53"/>
      <c r="AB22" s="43"/>
    </row>
    <row r="23" s="1" customFormat="1" ht="14.25" customHeight="1" spans="1:28">
      <c r="A23" s="4"/>
      <c r="B23" s="9"/>
      <c r="C23" s="5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5"/>
      <c r="P23" s="9"/>
      <c r="Q23" s="31"/>
      <c r="R23" s="32"/>
      <c r="S23" s="33"/>
      <c r="T23" s="34"/>
      <c r="U23" s="35"/>
      <c r="V23" s="36"/>
      <c r="W23" s="36"/>
      <c r="X23" s="37"/>
      <c r="Y23" s="49"/>
      <c r="Z23" s="53"/>
      <c r="AA23" s="53"/>
      <c r="AB23" s="43"/>
    </row>
    <row r="24" s="1" customFormat="1" ht="14.25" customHeight="1" spans="1:28">
      <c r="A24" s="4"/>
      <c r="B24" s="9"/>
      <c r="C24" s="5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5"/>
      <c r="P24" s="9"/>
      <c r="Q24" s="31"/>
      <c r="R24" s="32"/>
      <c r="S24" s="33"/>
      <c r="T24" s="34"/>
      <c r="U24" s="35"/>
      <c r="V24" s="36"/>
      <c r="W24" s="36"/>
      <c r="X24" s="37"/>
      <c r="Y24" s="49"/>
      <c r="Z24" s="53"/>
      <c r="AA24" s="53"/>
      <c r="AB24" s="43"/>
    </row>
    <row r="25" s="1" customFormat="1" ht="14.25" customHeight="1" spans="1:28">
      <c r="A25" s="4"/>
      <c r="B25" s="9"/>
      <c r="C25" s="5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5"/>
      <c r="P25" s="9"/>
      <c r="Q25" s="31"/>
      <c r="R25" s="32"/>
      <c r="S25" s="33"/>
      <c r="T25" s="34"/>
      <c r="U25" s="35"/>
      <c r="V25" s="36"/>
      <c r="W25" s="36"/>
      <c r="X25" s="37"/>
      <c r="Y25" s="49"/>
      <c r="Z25" s="53"/>
      <c r="AA25" s="53"/>
      <c r="AB25" s="43"/>
    </row>
    <row r="26" s="1" customFormat="1" ht="14.25" customHeight="1" spans="1:28">
      <c r="A26" s="4"/>
      <c r="B26" s="9"/>
      <c r="C26" s="5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5"/>
      <c r="P26" s="9"/>
      <c r="Q26" s="31"/>
      <c r="R26" s="32"/>
      <c r="S26" s="33"/>
      <c r="T26" s="34"/>
      <c r="U26" s="35"/>
      <c r="V26" s="36"/>
      <c r="W26" s="36"/>
      <c r="X26" s="37"/>
      <c r="Y26" s="49"/>
      <c r="Z26" s="53"/>
      <c r="AA26" s="53"/>
      <c r="AB26" s="43"/>
    </row>
    <row r="27" s="1" customFormat="1" ht="14.25" customHeight="1" spans="1:28">
      <c r="A27" s="4"/>
      <c r="B27" s="9"/>
      <c r="C27" s="5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5"/>
      <c r="P27" s="9"/>
      <c r="Q27" s="31"/>
      <c r="R27" s="32"/>
      <c r="S27" s="33"/>
      <c r="T27" s="34"/>
      <c r="U27" s="35"/>
      <c r="V27" s="36"/>
      <c r="W27" s="36"/>
      <c r="X27" s="37"/>
      <c r="Y27" s="49"/>
      <c r="Z27" s="53"/>
      <c r="AA27" s="53"/>
      <c r="AB27" s="43"/>
    </row>
    <row r="28" s="1" customFormat="1" ht="14.25" customHeight="1" spans="1:28">
      <c r="A28" s="4"/>
      <c r="B28" s="9"/>
      <c r="C28" s="5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5"/>
      <c r="P28" s="9"/>
      <c r="Q28" s="31"/>
      <c r="R28" s="32"/>
      <c r="S28" s="33"/>
      <c r="T28" s="34"/>
      <c r="U28" s="35"/>
      <c r="V28" s="36"/>
      <c r="W28" s="36"/>
      <c r="X28" s="37"/>
      <c r="Y28" s="49"/>
      <c r="Z28" s="53"/>
      <c r="AA28" s="53"/>
      <c r="AB28" s="43"/>
    </row>
    <row r="29" s="1" customFormat="1" ht="14.25" customHeight="1" spans="1:28">
      <c r="A29" s="4"/>
      <c r="B29" s="9"/>
      <c r="C29" s="5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5"/>
      <c r="P29" s="9"/>
      <c r="Q29" s="31"/>
      <c r="R29" s="32"/>
      <c r="S29" s="33"/>
      <c r="T29" s="34"/>
      <c r="U29" s="35"/>
      <c r="V29" s="36"/>
      <c r="W29" s="36"/>
      <c r="X29" s="37"/>
      <c r="Y29" s="49"/>
      <c r="Z29" s="53"/>
      <c r="AA29" s="53"/>
      <c r="AB29" s="43"/>
    </row>
    <row r="30" s="1" customFormat="1" ht="14.25" customHeight="1" spans="1:28">
      <c r="A30" s="4"/>
      <c r="B30" s="9"/>
      <c r="C30" s="5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5"/>
      <c r="P30" s="9"/>
      <c r="Q30" s="31"/>
      <c r="R30" s="32"/>
      <c r="S30" s="33"/>
      <c r="T30" s="34"/>
      <c r="U30" s="35"/>
      <c r="V30" s="36"/>
      <c r="W30" s="36"/>
      <c r="X30" s="37"/>
      <c r="Y30" s="49"/>
      <c r="Z30" s="53"/>
      <c r="AA30" s="53"/>
      <c r="AB30" s="43"/>
    </row>
    <row r="31" s="1" customFormat="1" ht="14.25" customHeight="1" spans="1:28">
      <c r="A31" s="4"/>
      <c r="B31" s="9"/>
      <c r="C31" s="5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5"/>
      <c r="P31" s="9"/>
      <c r="Q31" s="31"/>
      <c r="R31" s="32"/>
      <c r="S31" s="33"/>
      <c r="T31" s="34"/>
      <c r="U31" s="35"/>
      <c r="V31" s="36"/>
      <c r="W31" s="36"/>
      <c r="X31" s="37"/>
      <c r="Y31" s="49"/>
      <c r="Z31" s="53"/>
      <c r="AA31" s="53"/>
      <c r="AB31" s="43"/>
    </row>
    <row r="32" s="1" customFormat="1" ht="14.25" customHeight="1" spans="1:28">
      <c r="A32" s="4"/>
      <c r="B32" s="9"/>
      <c r="C32" s="5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5"/>
      <c r="P32" s="9"/>
      <c r="Q32" s="31"/>
      <c r="R32" s="32"/>
      <c r="S32" s="33"/>
      <c r="T32" s="34"/>
      <c r="U32" s="35"/>
      <c r="V32" s="36"/>
      <c r="W32" s="36"/>
      <c r="X32" s="37"/>
      <c r="Y32" s="49"/>
      <c r="Z32" s="53"/>
      <c r="AA32" s="53"/>
      <c r="AB32" s="43"/>
    </row>
    <row r="33" s="1" customFormat="1" ht="14.25" customHeight="1" spans="1:28">
      <c r="A33" s="4"/>
      <c r="B33" s="9"/>
      <c r="C33" s="5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5"/>
      <c r="P33" s="9"/>
      <c r="Q33" s="31"/>
      <c r="R33" s="32"/>
      <c r="S33" s="33"/>
      <c r="T33" s="34"/>
      <c r="U33" s="35"/>
      <c r="V33" s="36"/>
      <c r="W33" s="36"/>
      <c r="X33" s="37"/>
      <c r="Y33" s="49"/>
      <c r="Z33" s="53"/>
      <c r="AA33" s="53"/>
      <c r="AB33" s="43"/>
    </row>
    <row r="34" s="1" customFormat="1" ht="14.25" customHeight="1" spans="1:28">
      <c r="A34" s="4"/>
      <c r="B34" s="9"/>
      <c r="C34" s="5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5"/>
      <c r="P34" s="9"/>
      <c r="Q34" s="31"/>
      <c r="R34" s="32"/>
      <c r="S34" s="33"/>
      <c r="T34" s="34"/>
      <c r="U34" s="35"/>
      <c r="V34" s="36"/>
      <c r="W34" s="36"/>
      <c r="X34" s="37"/>
      <c r="Y34" s="49"/>
      <c r="Z34" s="53"/>
      <c r="AA34" s="53"/>
      <c r="AB34" s="43"/>
    </row>
    <row r="35" s="1" customFormat="1" ht="14.25" customHeight="1" spans="1:28">
      <c r="A35" s="4"/>
      <c r="B35" s="9"/>
      <c r="C35" s="5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5"/>
      <c r="P35" s="9"/>
      <c r="Q35" s="31"/>
      <c r="R35" s="32"/>
      <c r="S35" s="33"/>
      <c r="T35" s="34"/>
      <c r="U35" s="35"/>
      <c r="V35" s="36"/>
      <c r="W35" s="36"/>
      <c r="X35" s="37"/>
      <c r="Y35" s="49"/>
      <c r="Z35" s="53"/>
      <c r="AA35" s="53"/>
      <c r="AB35" s="43"/>
    </row>
    <row r="36" s="1" customFormat="1" ht="14.25" customHeight="1" spans="1:28">
      <c r="A36" s="4"/>
      <c r="B36" s="9"/>
      <c r="C36" s="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5"/>
      <c r="P36" s="9"/>
      <c r="Q36" s="31"/>
      <c r="R36" s="32"/>
      <c r="S36" s="33"/>
      <c r="T36" s="34"/>
      <c r="U36" s="35"/>
      <c r="V36" s="36"/>
      <c r="W36" s="36"/>
      <c r="X36" s="37"/>
      <c r="Y36" s="49"/>
      <c r="Z36" s="53"/>
      <c r="AA36" s="53"/>
      <c r="AB36" s="43"/>
    </row>
    <row r="37" s="1" customFormat="1" ht="14.25" customHeight="1" spans="1:28">
      <c r="A37" s="4"/>
      <c r="B37" s="9"/>
      <c r="C37" s="5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5"/>
      <c r="P37" s="9"/>
      <c r="Q37" s="31"/>
      <c r="R37" s="32"/>
      <c r="S37" s="33"/>
      <c r="T37" s="34"/>
      <c r="U37" s="35"/>
      <c r="V37" s="36"/>
      <c r="W37" s="36"/>
      <c r="X37" s="37"/>
      <c r="Y37" s="49"/>
      <c r="Z37" s="53"/>
      <c r="AA37" s="53"/>
      <c r="AB37" s="43"/>
    </row>
    <row r="38" s="1" customFormat="1" ht="14.25" customHeight="1" spans="1:28">
      <c r="A38" s="4"/>
      <c r="B38" s="9"/>
      <c r="C38" s="5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5"/>
      <c r="P38" s="9"/>
      <c r="Q38" s="31"/>
      <c r="R38" s="32"/>
      <c r="S38" s="33"/>
      <c r="T38" s="34"/>
      <c r="U38" s="35"/>
      <c r="V38" s="36"/>
      <c r="W38" s="36"/>
      <c r="X38" s="37"/>
      <c r="Y38" s="49"/>
      <c r="Z38" s="53"/>
      <c r="AA38" s="53"/>
      <c r="AB38" s="43"/>
    </row>
    <row r="39" s="1" customFormat="1" ht="14.25" customHeight="1" spans="1:28">
      <c r="A39" s="4"/>
      <c r="B39" s="9"/>
      <c r="C39" s="5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5"/>
      <c r="P39" s="9"/>
      <c r="Q39" s="31"/>
      <c r="R39" s="32"/>
      <c r="S39" s="33"/>
      <c r="T39" s="34"/>
      <c r="U39" s="35"/>
      <c r="V39" s="36"/>
      <c r="W39" s="36"/>
      <c r="X39" s="37"/>
      <c r="Y39" s="49"/>
      <c r="Z39" s="53"/>
      <c r="AA39" s="53"/>
      <c r="AB39" s="43"/>
    </row>
    <row r="40" s="1" customFormat="1" ht="14.25" customHeight="1" spans="1:28">
      <c r="A40" s="4"/>
      <c r="B40" s="9"/>
      <c r="C40" s="5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5"/>
      <c r="P40" s="9"/>
      <c r="Q40" s="31"/>
      <c r="R40" s="32"/>
      <c r="S40" s="33"/>
      <c r="T40" s="34"/>
      <c r="U40" s="35"/>
      <c r="V40" s="36"/>
      <c r="W40" s="36"/>
      <c r="X40" s="37"/>
      <c r="Y40" s="49"/>
      <c r="Z40" s="53"/>
      <c r="AA40" s="53"/>
      <c r="AB40" s="43"/>
    </row>
    <row r="41" s="1" customFormat="1" ht="14.25" customHeight="1" spans="1:28">
      <c r="A41" s="4"/>
      <c r="B41" s="9"/>
      <c r="C41" s="5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5"/>
      <c r="P41" s="9"/>
      <c r="Q41" s="31"/>
      <c r="R41" s="32"/>
      <c r="S41" s="33"/>
      <c r="T41" s="34"/>
      <c r="U41" s="35"/>
      <c r="V41" s="36"/>
      <c r="W41" s="36"/>
      <c r="X41" s="37"/>
      <c r="Y41" s="49"/>
      <c r="Z41" s="53"/>
      <c r="AA41" s="53"/>
      <c r="AB41" s="43"/>
    </row>
    <row r="42" s="1" customFormat="1" ht="14.25" customHeight="1" spans="1:28">
      <c r="A42" s="4"/>
      <c r="B42" s="9"/>
      <c r="C42" s="5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5"/>
      <c r="P42" s="9"/>
      <c r="Q42" s="31"/>
      <c r="R42" s="32"/>
      <c r="S42" s="33"/>
      <c r="T42" s="34"/>
      <c r="U42" s="35"/>
      <c r="V42" s="36"/>
      <c r="W42" s="36"/>
      <c r="X42" s="37"/>
      <c r="Y42" s="49"/>
      <c r="Z42" s="53"/>
      <c r="AA42" s="53"/>
      <c r="AB42" s="43"/>
    </row>
    <row r="43" s="1" customFormat="1" ht="14.25" customHeight="1" spans="1:28">
      <c r="A43" s="4"/>
      <c r="B43" s="9"/>
      <c r="C43" s="5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5"/>
      <c r="P43" s="9"/>
      <c r="Q43" s="31"/>
      <c r="R43" s="32"/>
      <c r="S43" s="33"/>
      <c r="T43" s="34"/>
      <c r="U43" s="35"/>
      <c r="V43" s="36"/>
      <c r="W43" s="36"/>
      <c r="X43" s="37"/>
      <c r="Y43" s="49"/>
      <c r="Z43" s="53"/>
      <c r="AA43" s="53"/>
      <c r="AB43" s="43"/>
    </row>
    <row r="44" s="1" customFormat="1" ht="14.25" customHeight="1" spans="1:28">
      <c r="A44" s="4"/>
      <c r="B44" s="9"/>
      <c r="C44" s="5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5"/>
      <c r="P44" s="9"/>
      <c r="Q44" s="31"/>
      <c r="R44" s="32"/>
      <c r="S44" s="33"/>
      <c r="T44" s="34"/>
      <c r="U44" s="35"/>
      <c r="V44" s="36"/>
      <c r="W44" s="36"/>
      <c r="X44" s="37"/>
      <c r="Y44" s="49"/>
      <c r="Z44" s="53"/>
      <c r="AA44" s="53"/>
      <c r="AB44" s="43"/>
    </row>
    <row r="45" s="1" customFormat="1" ht="14.25" customHeight="1" spans="1:28">
      <c r="A45" s="4"/>
      <c r="B45" s="9"/>
      <c r="C45" s="5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5"/>
      <c r="P45" s="9"/>
      <c r="Q45" s="31"/>
      <c r="R45" s="32"/>
      <c r="S45" s="33"/>
      <c r="T45" s="34"/>
      <c r="U45" s="35"/>
      <c r="V45" s="36"/>
      <c r="W45" s="36"/>
      <c r="X45" s="37"/>
      <c r="Y45" s="49"/>
      <c r="Z45" s="53"/>
      <c r="AA45" s="53"/>
      <c r="AB45" s="43"/>
    </row>
    <row r="46" s="1" customFormat="1" ht="14.25" customHeight="1" spans="1:28">
      <c r="A46" s="4"/>
      <c r="B46" s="9"/>
      <c r="C46" s="5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5"/>
      <c r="P46" s="9"/>
      <c r="Q46" s="31"/>
      <c r="R46" s="32"/>
      <c r="S46" s="33"/>
      <c r="T46" s="34"/>
      <c r="U46" s="35"/>
      <c r="V46" s="36"/>
      <c r="W46" s="36"/>
      <c r="X46" s="37"/>
      <c r="Y46" s="49"/>
      <c r="Z46" s="53"/>
      <c r="AA46" s="53"/>
      <c r="AB46" s="43"/>
    </row>
    <row r="47" s="1" customFormat="1" ht="14.25" customHeight="1" spans="1:28">
      <c r="A47" s="4"/>
      <c r="B47" s="9"/>
      <c r="C47" s="5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5"/>
      <c r="P47" s="9"/>
      <c r="Q47" s="31"/>
      <c r="R47" s="32"/>
      <c r="S47" s="33"/>
      <c r="T47" s="34"/>
      <c r="U47" s="35"/>
      <c r="V47" s="36"/>
      <c r="W47" s="36"/>
      <c r="X47" s="37"/>
      <c r="Y47" s="49"/>
      <c r="Z47" s="53"/>
      <c r="AA47" s="53"/>
      <c r="AB47" s="43"/>
    </row>
    <row r="48" s="1" customFormat="1" ht="14.25" customHeight="1" spans="1:28">
      <c r="A48" s="4"/>
      <c r="B48" s="9"/>
      <c r="C48" s="5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5"/>
      <c r="P48" s="9"/>
      <c r="Q48" s="31"/>
      <c r="R48" s="32"/>
      <c r="S48" s="33"/>
      <c r="T48" s="34"/>
      <c r="U48" s="35"/>
      <c r="V48" s="36"/>
      <c r="W48" s="36"/>
      <c r="X48" s="37"/>
      <c r="Y48" s="49"/>
      <c r="Z48" s="53"/>
      <c r="AA48" s="53"/>
      <c r="AB48" s="43"/>
    </row>
    <row r="49" s="1" customFormat="1" ht="14.25" customHeight="1" spans="1:28">
      <c r="A49" s="4"/>
      <c r="B49" s="9"/>
      <c r="C49" s="5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5"/>
      <c r="P49" s="9"/>
      <c r="Q49" s="31"/>
      <c r="R49" s="32"/>
      <c r="S49" s="33"/>
      <c r="T49" s="34"/>
      <c r="U49" s="35"/>
      <c r="V49" s="36"/>
      <c r="W49" s="36"/>
      <c r="X49" s="37"/>
      <c r="Y49" s="49"/>
      <c r="Z49" s="53"/>
      <c r="AA49" s="53"/>
      <c r="AB49" s="43"/>
    </row>
    <row r="50" s="1" customFormat="1" ht="14.25" customHeight="1" spans="1:28">
      <c r="A50" s="4"/>
      <c r="B50" s="9"/>
      <c r="C50" s="5"/>
      <c r="D50" s="9"/>
      <c r="E50" s="10"/>
      <c r="F50" s="9"/>
      <c r="G50" s="9"/>
      <c r="H50" s="9"/>
      <c r="I50" s="9"/>
      <c r="J50" s="9"/>
      <c r="K50" s="9"/>
      <c r="L50" s="9"/>
      <c r="M50" s="9"/>
      <c r="N50" s="9"/>
      <c r="O50" s="15"/>
      <c r="P50" s="9"/>
      <c r="Q50" s="31"/>
      <c r="R50" s="32"/>
      <c r="S50" s="33"/>
      <c r="T50" s="34"/>
      <c r="U50" s="35"/>
      <c r="V50" s="36"/>
      <c r="W50" s="36"/>
      <c r="X50" s="37"/>
      <c r="Y50" s="49"/>
      <c r="Z50" s="53"/>
      <c r="AA50" s="53"/>
      <c r="AB50" s="43"/>
    </row>
    <row r="51" s="1" customFormat="1" ht="14.25" customHeight="1" spans="1:28">
      <c r="A51" s="4"/>
      <c r="B51" s="9"/>
      <c r="C51" s="5"/>
      <c r="D51" s="9"/>
      <c r="E51" s="10"/>
      <c r="F51" s="9"/>
      <c r="G51" s="9"/>
      <c r="H51" s="9"/>
      <c r="I51" s="9"/>
      <c r="J51" s="9"/>
      <c r="K51" s="9"/>
      <c r="L51" s="9"/>
      <c r="M51" s="9"/>
      <c r="N51" s="9"/>
      <c r="O51" s="15"/>
      <c r="P51" s="9"/>
      <c r="Q51" s="31"/>
      <c r="R51" s="32"/>
      <c r="S51" s="33"/>
      <c r="T51" s="34"/>
      <c r="U51" s="35"/>
      <c r="V51" s="36"/>
      <c r="W51" s="36"/>
      <c r="X51" s="37"/>
      <c r="Y51" s="49"/>
      <c r="Z51" s="53"/>
      <c r="AA51" s="53"/>
      <c r="AB51" s="43"/>
    </row>
    <row r="52" s="1" customFormat="1" ht="14.25" customHeight="1" spans="1:28">
      <c r="A52" s="4"/>
      <c r="B52" s="9"/>
      <c r="C52" s="5"/>
      <c r="D52" s="9"/>
      <c r="E52" s="10"/>
      <c r="F52" s="9"/>
      <c r="G52" s="9"/>
      <c r="H52" s="9"/>
      <c r="I52" s="9"/>
      <c r="J52" s="9"/>
      <c r="K52" s="9"/>
      <c r="L52" s="9"/>
      <c r="M52" s="9"/>
      <c r="N52" s="9"/>
      <c r="O52" s="15"/>
      <c r="P52" s="9"/>
      <c r="Q52" s="31"/>
      <c r="R52" s="32"/>
      <c r="S52" s="33"/>
      <c r="T52" s="34"/>
      <c r="U52" s="35"/>
      <c r="V52" s="36"/>
      <c r="W52" s="36"/>
      <c r="X52" s="37"/>
      <c r="Y52" s="49"/>
      <c r="Z52" s="53"/>
      <c r="AA52" s="53"/>
      <c r="AB52" s="43"/>
    </row>
    <row r="53" s="1" customFormat="1" ht="14.25" customHeight="1" spans="1:28">
      <c r="A53" s="4"/>
      <c r="B53" s="9"/>
      <c r="C53" s="5"/>
      <c r="D53" s="9"/>
      <c r="E53" s="10"/>
      <c r="F53" s="9"/>
      <c r="G53" s="9"/>
      <c r="H53" s="9"/>
      <c r="I53" s="9"/>
      <c r="J53" s="9"/>
      <c r="K53" s="9"/>
      <c r="L53" s="9"/>
      <c r="M53" s="9"/>
      <c r="N53" s="9"/>
      <c r="O53" s="15"/>
      <c r="P53" s="9"/>
      <c r="Q53" s="31"/>
      <c r="R53" s="32"/>
      <c r="S53" s="33"/>
      <c r="T53" s="34"/>
      <c r="U53" s="35"/>
      <c r="V53" s="36"/>
      <c r="W53" s="36"/>
      <c r="X53" s="37"/>
      <c r="Y53" s="49"/>
      <c r="Z53" s="53"/>
      <c r="AA53" s="53"/>
      <c r="AB53" s="43"/>
    </row>
    <row r="54" s="1" customFormat="1" ht="14.25" customHeight="1" spans="1:28">
      <c r="A54" s="4"/>
      <c r="B54" s="9"/>
      <c r="C54" s="5"/>
      <c r="D54" s="9"/>
      <c r="E54" s="10"/>
      <c r="F54" s="9"/>
      <c r="G54" s="9"/>
      <c r="H54" s="9"/>
      <c r="I54" s="9"/>
      <c r="J54" s="9"/>
      <c r="K54" s="9"/>
      <c r="L54" s="9"/>
      <c r="M54" s="9"/>
      <c r="N54" s="9"/>
      <c r="O54" s="15"/>
      <c r="P54" s="9"/>
      <c r="Q54" s="31"/>
      <c r="R54" s="32"/>
      <c r="S54" s="33"/>
      <c r="T54" s="34"/>
      <c r="U54" s="35"/>
      <c r="V54" s="36"/>
      <c r="W54" s="36"/>
      <c r="X54" s="37"/>
      <c r="Y54" s="49"/>
      <c r="Z54" s="53"/>
      <c r="AA54" s="53"/>
      <c r="AB54" s="43"/>
    </row>
    <row r="55" s="1" customFormat="1" ht="14.25" customHeight="1" spans="1:28">
      <c r="A55" s="4"/>
      <c r="B55" s="9"/>
      <c r="C55" s="5"/>
      <c r="D55" s="9"/>
      <c r="E55" s="10"/>
      <c r="F55" s="9"/>
      <c r="G55" s="9"/>
      <c r="H55" s="9"/>
      <c r="I55" s="9"/>
      <c r="J55" s="9"/>
      <c r="K55" s="9"/>
      <c r="L55" s="9"/>
      <c r="M55" s="9"/>
      <c r="N55" s="9"/>
      <c r="O55" s="15"/>
      <c r="P55" s="9"/>
      <c r="Q55" s="31"/>
      <c r="R55" s="32"/>
      <c r="S55" s="33"/>
      <c r="T55" s="34"/>
      <c r="U55" s="35"/>
      <c r="V55" s="36"/>
      <c r="W55" s="36"/>
      <c r="X55" s="37"/>
      <c r="Y55" s="49"/>
      <c r="Z55" s="53"/>
      <c r="AA55" s="53"/>
      <c r="AB55" s="43"/>
    </row>
    <row r="56" s="1" customFormat="1" ht="14.25" customHeight="1" spans="1:28">
      <c r="A56" s="4"/>
      <c r="B56" s="9"/>
      <c r="C56" s="5"/>
      <c r="D56" s="9"/>
      <c r="E56" s="10"/>
      <c r="F56" s="9"/>
      <c r="G56" s="9"/>
      <c r="H56" s="9"/>
      <c r="I56" s="9"/>
      <c r="J56" s="9"/>
      <c r="K56" s="9"/>
      <c r="L56" s="9"/>
      <c r="M56" s="9"/>
      <c r="N56" s="9"/>
      <c r="O56" s="15"/>
      <c r="P56" s="9"/>
      <c r="Q56" s="31"/>
      <c r="R56" s="32"/>
      <c r="S56" s="33"/>
      <c r="T56" s="34"/>
      <c r="U56" s="35"/>
      <c r="V56" s="36"/>
      <c r="W56" s="36"/>
      <c r="X56" s="37"/>
      <c r="Y56" s="49"/>
      <c r="Z56" s="53"/>
      <c r="AA56" s="53"/>
      <c r="AB56" s="43"/>
    </row>
    <row r="57" s="1" customFormat="1" ht="14.25" customHeight="1" spans="1:28">
      <c r="A57" s="4"/>
      <c r="B57" s="9"/>
      <c r="C57" s="5"/>
      <c r="D57" s="9"/>
      <c r="E57" s="10"/>
      <c r="F57" s="9"/>
      <c r="G57" s="9"/>
      <c r="H57" s="9"/>
      <c r="I57" s="9"/>
      <c r="J57" s="9"/>
      <c r="K57" s="9"/>
      <c r="L57" s="9"/>
      <c r="M57" s="9"/>
      <c r="N57" s="9"/>
      <c r="O57" s="15"/>
      <c r="P57" s="9"/>
      <c r="Q57" s="31"/>
      <c r="R57" s="32"/>
      <c r="S57" s="33"/>
      <c r="T57" s="34"/>
      <c r="U57" s="35"/>
      <c r="V57" s="36"/>
      <c r="W57" s="36"/>
      <c r="X57" s="37"/>
      <c r="Y57" s="49"/>
      <c r="Z57" s="52"/>
      <c r="AA57" s="53"/>
      <c r="AB57" s="43"/>
    </row>
    <row r="58" s="1" customFormat="1" ht="14.25" customHeight="1" spans="1:28">
      <c r="A58" s="4"/>
      <c r="B58" s="9"/>
      <c r="C58" s="5"/>
      <c r="D58" s="9"/>
      <c r="E58" s="10"/>
      <c r="F58" s="9"/>
      <c r="G58" s="9"/>
      <c r="H58" s="9"/>
      <c r="I58" s="9"/>
      <c r="J58" s="9"/>
      <c r="K58" s="9"/>
      <c r="L58" s="9"/>
      <c r="M58" s="9"/>
      <c r="N58" s="9"/>
      <c r="O58" s="15"/>
      <c r="P58" s="9"/>
      <c r="Q58" s="31"/>
      <c r="R58" s="32"/>
      <c r="S58" s="33"/>
      <c r="T58" s="34"/>
      <c r="U58" s="35"/>
      <c r="V58" s="36"/>
      <c r="W58" s="36"/>
      <c r="X58" s="37"/>
      <c r="Y58" s="49"/>
      <c r="Z58" s="52"/>
      <c r="AA58" s="53"/>
      <c r="AB58" s="43"/>
    </row>
    <row r="59" s="1" customFormat="1" ht="14.25" customHeight="1" spans="1:28">
      <c r="A59" s="4"/>
      <c r="B59" s="9"/>
      <c r="C59" s="5"/>
      <c r="D59" s="9"/>
      <c r="E59" s="10"/>
      <c r="F59" s="9"/>
      <c r="G59" s="9"/>
      <c r="H59" s="9"/>
      <c r="I59" s="9"/>
      <c r="J59" s="16"/>
      <c r="K59" s="16"/>
      <c r="L59" s="16"/>
      <c r="M59" s="16"/>
      <c r="N59" s="16"/>
      <c r="O59" s="15"/>
      <c r="P59" s="9"/>
      <c r="Q59" s="31"/>
      <c r="R59" s="32"/>
      <c r="S59" s="33"/>
      <c r="T59" s="34"/>
      <c r="U59" s="35"/>
      <c r="V59" s="36"/>
      <c r="W59" s="36"/>
      <c r="X59" s="37"/>
      <c r="Y59" s="49"/>
      <c r="Z59" s="52"/>
      <c r="AA59" s="53"/>
      <c r="AB59" s="43"/>
    </row>
    <row r="60" s="1" customFormat="1" ht="14.25" customHeight="1" spans="1:28">
      <c r="A60" s="4"/>
      <c r="B60" s="9"/>
      <c r="C60" s="5"/>
      <c r="D60" s="9"/>
      <c r="E60" s="10"/>
      <c r="F60" s="9"/>
      <c r="G60" s="9"/>
      <c r="H60" s="9"/>
      <c r="I60" s="9"/>
      <c r="J60" s="9"/>
      <c r="K60" s="9"/>
      <c r="L60" s="9"/>
      <c r="M60" s="9"/>
      <c r="N60" s="9"/>
      <c r="O60" s="15"/>
      <c r="P60" s="9"/>
      <c r="Q60" s="31"/>
      <c r="R60" s="32"/>
      <c r="S60" s="33"/>
      <c r="T60" s="34"/>
      <c r="U60" s="35"/>
      <c r="V60" s="36"/>
      <c r="W60" s="36"/>
      <c r="X60" s="37"/>
      <c r="Y60" s="49"/>
      <c r="Z60" s="52"/>
      <c r="AA60" s="53"/>
      <c r="AB60" s="43"/>
    </row>
    <row r="61" s="1" customFormat="1" ht="14.25" customHeight="1" spans="1:28">
      <c r="A61" s="4"/>
      <c r="B61" s="9"/>
      <c r="C61" s="5"/>
      <c r="D61" s="9"/>
      <c r="E61" s="10"/>
      <c r="F61" s="9"/>
      <c r="G61" s="9"/>
      <c r="H61" s="9"/>
      <c r="I61" s="9"/>
      <c r="J61" s="9"/>
      <c r="K61" s="9"/>
      <c r="L61" s="9"/>
      <c r="M61" s="9"/>
      <c r="N61" s="9"/>
      <c r="O61" s="15"/>
      <c r="P61" s="9"/>
      <c r="Q61" s="31"/>
      <c r="R61" s="32"/>
      <c r="S61" s="33"/>
      <c r="T61" s="34"/>
      <c r="U61" s="35"/>
      <c r="V61" s="36"/>
      <c r="W61" s="36"/>
      <c r="X61" s="37"/>
      <c r="Y61" s="49"/>
      <c r="Z61" s="52"/>
      <c r="AA61" s="53"/>
      <c r="AB61" s="43"/>
    </row>
    <row r="62" s="1" customFormat="1" ht="14.25" customHeight="1" spans="1:28">
      <c r="A62" s="4"/>
      <c r="B62" s="9"/>
      <c r="C62" s="5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15"/>
      <c r="P62" s="9"/>
      <c r="Q62" s="31"/>
      <c r="R62" s="32"/>
      <c r="S62" s="33"/>
      <c r="T62" s="34"/>
      <c r="U62" s="35"/>
      <c r="V62" s="36"/>
      <c r="W62" s="36"/>
      <c r="X62" s="37"/>
      <c r="Y62" s="49"/>
      <c r="Z62" s="53"/>
      <c r="AA62" s="53"/>
      <c r="AB62" s="43"/>
    </row>
    <row r="63" s="1" customFormat="1" ht="14.25" customHeight="1" spans="1:28">
      <c r="A63" s="4"/>
      <c r="B63" s="9"/>
      <c r="C63" s="5"/>
      <c r="D63" s="9"/>
      <c r="E63" s="10"/>
      <c r="F63" s="9"/>
      <c r="G63" s="9"/>
      <c r="H63" s="9"/>
      <c r="I63" s="9"/>
      <c r="J63" s="9"/>
      <c r="K63" s="9"/>
      <c r="L63" s="9"/>
      <c r="M63" s="9"/>
      <c r="N63" s="9"/>
      <c r="O63" s="15"/>
      <c r="P63" s="9"/>
      <c r="Q63" s="31"/>
      <c r="R63" s="32"/>
      <c r="S63" s="33"/>
      <c r="T63" s="34"/>
      <c r="U63" s="35"/>
      <c r="V63" s="36"/>
      <c r="W63" s="36"/>
      <c r="X63" s="37"/>
      <c r="Y63" s="49"/>
      <c r="Z63" s="53"/>
      <c r="AA63" s="53"/>
      <c r="AB63" s="43"/>
    </row>
    <row r="64" s="1" customFormat="1" ht="14.25" customHeight="1" spans="1:28">
      <c r="A64" s="4"/>
      <c r="B64" s="9"/>
      <c r="C64" s="5"/>
      <c r="D64" s="9"/>
      <c r="E64" s="10"/>
      <c r="F64" s="9"/>
      <c r="G64" s="9"/>
      <c r="H64" s="9"/>
      <c r="I64" s="9"/>
      <c r="J64" s="9"/>
      <c r="K64" s="9"/>
      <c r="L64" s="9"/>
      <c r="M64" s="9"/>
      <c r="N64" s="9"/>
      <c r="O64" s="15"/>
      <c r="P64" s="9"/>
      <c r="Q64" s="31"/>
      <c r="R64" s="32"/>
      <c r="S64" s="33"/>
      <c r="T64" s="34"/>
      <c r="U64" s="35"/>
      <c r="V64" s="36"/>
      <c r="W64" s="36"/>
      <c r="X64" s="37"/>
      <c r="Y64" s="49"/>
      <c r="Z64" s="53"/>
      <c r="AA64" s="53"/>
      <c r="AB64" s="43"/>
    </row>
  </sheetData>
  <mergeCells count="3">
    <mergeCell ref="A1:R2"/>
    <mergeCell ref="S1:W2"/>
    <mergeCell ref="X1:Z2"/>
  </mergeCells>
  <conditionalFormatting sqref="V51">
    <cfRule type="expression" dxfId="0" priority="13">
      <formula>$V51&gt;$S51</formula>
    </cfRule>
  </conditionalFormatting>
  <conditionalFormatting sqref="W51">
    <cfRule type="cellIs" dxfId="1" priority="26" operator="lessThan">
      <formula>0</formula>
    </cfRule>
  </conditionalFormatting>
  <conditionalFormatting sqref="V52">
    <cfRule type="expression" dxfId="0" priority="12">
      <formula>$V52&gt;$S52</formula>
    </cfRule>
  </conditionalFormatting>
  <conditionalFormatting sqref="W52">
    <cfRule type="cellIs" dxfId="1" priority="25" operator="lessThan">
      <formula>0</formula>
    </cfRule>
  </conditionalFormatting>
  <conditionalFormatting sqref="V53">
    <cfRule type="expression" dxfId="0" priority="11">
      <formula>$V53&gt;$S53</formula>
    </cfRule>
  </conditionalFormatting>
  <conditionalFormatting sqref="W53">
    <cfRule type="cellIs" dxfId="1" priority="24" operator="lessThan">
      <formula>0</formula>
    </cfRule>
  </conditionalFormatting>
  <conditionalFormatting sqref="V54">
    <cfRule type="expression" dxfId="0" priority="10">
      <formula>$V54&gt;$S54</formula>
    </cfRule>
  </conditionalFormatting>
  <conditionalFormatting sqref="W54">
    <cfRule type="cellIs" dxfId="1" priority="23" operator="lessThan">
      <formula>0</formula>
    </cfRule>
  </conditionalFormatting>
  <conditionalFormatting sqref="V55">
    <cfRule type="expression" dxfId="0" priority="9">
      <formula>$V55&gt;$S55</formula>
    </cfRule>
  </conditionalFormatting>
  <conditionalFormatting sqref="W55">
    <cfRule type="cellIs" dxfId="1" priority="22" operator="lessThan">
      <formula>0</formula>
    </cfRule>
  </conditionalFormatting>
  <conditionalFormatting sqref="V56">
    <cfRule type="expression" dxfId="0" priority="8">
      <formula>$V56&gt;$S56</formula>
    </cfRule>
  </conditionalFormatting>
  <conditionalFormatting sqref="W56">
    <cfRule type="cellIs" dxfId="1" priority="21" operator="lessThan">
      <formula>0</formula>
    </cfRule>
  </conditionalFormatting>
  <conditionalFormatting sqref="V57">
    <cfRule type="expression" dxfId="0" priority="7">
      <formula>$V57&gt;$S57</formula>
    </cfRule>
  </conditionalFormatting>
  <conditionalFormatting sqref="W57">
    <cfRule type="cellIs" dxfId="1" priority="20" operator="lessThan">
      <formula>0</formula>
    </cfRule>
  </conditionalFormatting>
  <conditionalFormatting sqref="V60">
    <cfRule type="expression" dxfId="0" priority="5">
      <formula>$V60&gt;$S60</formula>
    </cfRule>
  </conditionalFormatting>
  <conditionalFormatting sqref="W60">
    <cfRule type="cellIs" dxfId="1" priority="18" operator="lessThan">
      <formula>0</formula>
    </cfRule>
  </conditionalFormatting>
  <conditionalFormatting sqref="V61">
    <cfRule type="expression" dxfId="0" priority="4">
      <formula>$V61&gt;$S61</formula>
    </cfRule>
  </conditionalFormatting>
  <conditionalFormatting sqref="W61">
    <cfRule type="cellIs" dxfId="1" priority="17" operator="lessThan">
      <formula>0</formula>
    </cfRule>
  </conditionalFormatting>
  <conditionalFormatting sqref="V62">
    <cfRule type="expression" dxfId="0" priority="3">
      <formula>$V62&gt;$S62</formula>
    </cfRule>
  </conditionalFormatting>
  <conditionalFormatting sqref="W62">
    <cfRule type="cellIs" dxfId="1" priority="16" operator="lessThan">
      <formula>0</formula>
    </cfRule>
  </conditionalFormatting>
  <conditionalFormatting sqref="V63">
    <cfRule type="expression" dxfId="0" priority="2">
      <formula>$V63&gt;$S63</formula>
    </cfRule>
  </conditionalFormatting>
  <conditionalFormatting sqref="W63">
    <cfRule type="cellIs" dxfId="1" priority="15" operator="lessThan">
      <formula>0</formula>
    </cfRule>
  </conditionalFormatting>
  <conditionalFormatting sqref="V64">
    <cfRule type="expression" dxfId="0" priority="1">
      <formula>$V64&gt;$S64</formula>
    </cfRule>
  </conditionalFormatting>
  <conditionalFormatting sqref="W64">
    <cfRule type="cellIs" dxfId="1" priority="14" operator="lessThan">
      <formula>0</formula>
    </cfRule>
  </conditionalFormatting>
  <conditionalFormatting sqref="V3:V50">
    <cfRule type="expression" dxfId="0" priority="27">
      <formula>$V3&gt;$S3</formula>
    </cfRule>
  </conditionalFormatting>
  <conditionalFormatting sqref="V58:V59">
    <cfRule type="expression" dxfId="0" priority="6">
      <formula>$V58&gt;$S58</formula>
    </cfRule>
  </conditionalFormatting>
  <conditionalFormatting sqref="W3:W50">
    <cfRule type="cellIs" dxfId="1" priority="28" operator="lessThan">
      <formula>0</formula>
    </cfRule>
  </conditionalFormatting>
  <conditionalFormatting sqref="W58:W59">
    <cfRule type="cellIs" dxfId="1" priority="19" operator="lessThan">
      <formula>0</formula>
    </cfRule>
  </conditionalFormatting>
  <dataValidations count="2">
    <dataValidation type="list" allowBlank="1" showInputMessage="1" showErrorMessage="1" sqref="C11 C4:C10 C12:C64">
      <formula1>"深圳福达通,康为,新浪潮,湖南飞英达,志奋领,腾马"</formula1>
    </dataValidation>
    <dataValidation type="list" allowBlank="1" showInputMessage="1" showErrorMessage="1" sqref="C1:C3">
      <formula1>"深圳福达通,康为,新浪潮,湖南飞英达,志奋领"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E59"/>
  <sheetViews>
    <sheetView tabSelected="1" zoomScale="70" zoomScaleNormal="70" topLeftCell="E1" workbookViewId="0">
      <selection activeCell="P66" sqref="P66"/>
    </sheetView>
  </sheetViews>
  <sheetFormatPr defaultColWidth="9" defaultRowHeight="14"/>
  <cols>
    <col min="1" max="1" width="10.2727272727273" style="3"/>
    <col min="2" max="3" width="9" style="3"/>
    <col min="4" max="4" width="7" style="3" customWidth="1"/>
    <col min="5" max="5" width="9" style="3"/>
    <col min="6" max="6" width="6.5" style="3" customWidth="1"/>
    <col min="7" max="7" width="9" style="3"/>
    <col min="8" max="8" width="18.7272727272727" style="3" customWidth="1"/>
    <col min="9" max="25" width="9" style="3"/>
    <col min="26" max="26" width="12.7272727272727" style="3"/>
    <col min="27" max="30" width="9" style="3"/>
    <col min="31" max="31" width="11.1818181818182" style="3"/>
    <col min="32" max="16384" width="9" style="3"/>
  </cols>
  <sheetData>
    <row r="1" s="1" customFormat="1" ht="14.25" customHeight="1" spans="1:28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11"/>
      <c r="L1" s="11"/>
      <c r="M1" s="11"/>
      <c r="N1" s="11"/>
      <c r="O1" s="12"/>
      <c r="P1" s="11"/>
      <c r="Q1" s="11"/>
      <c r="R1" s="12"/>
      <c r="S1" s="17" t="s">
        <v>1</v>
      </c>
      <c r="T1" s="17"/>
      <c r="U1" s="18"/>
      <c r="V1" s="19"/>
      <c r="W1" s="18"/>
      <c r="X1" s="20" t="s">
        <v>2</v>
      </c>
      <c r="Y1" s="40"/>
      <c r="Z1" s="41"/>
      <c r="AA1" s="42"/>
      <c r="AB1" s="43"/>
    </row>
    <row r="2" s="1" customFormat="1" ht="14.25" customHeight="1" spans="1:28">
      <c r="A2" s="4"/>
      <c r="B2" s="4"/>
      <c r="C2" s="5"/>
      <c r="D2" s="4"/>
      <c r="E2" s="4"/>
      <c r="F2" s="4"/>
      <c r="G2" s="4"/>
      <c r="H2" s="4"/>
      <c r="I2" s="4"/>
      <c r="J2" s="4"/>
      <c r="K2" s="11"/>
      <c r="L2" s="11"/>
      <c r="M2" s="11"/>
      <c r="N2" s="11"/>
      <c r="O2" s="12"/>
      <c r="P2" s="11"/>
      <c r="Q2" s="11"/>
      <c r="R2" s="12"/>
      <c r="S2" s="21"/>
      <c r="T2" s="21"/>
      <c r="U2" s="22"/>
      <c r="V2" s="23"/>
      <c r="W2" s="24"/>
      <c r="X2" s="25"/>
      <c r="Y2" s="44"/>
      <c r="Z2" s="45"/>
      <c r="AB2" s="43"/>
    </row>
    <row r="3" s="2" customFormat="1" ht="38" customHeight="1" spans="1:31">
      <c r="A3" s="6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13" t="s">
        <v>17</v>
      </c>
      <c r="P3" s="6" t="s">
        <v>18</v>
      </c>
      <c r="Q3" s="6" t="s">
        <v>19</v>
      </c>
      <c r="R3" s="26" t="s">
        <v>20</v>
      </c>
      <c r="S3" s="27" t="s">
        <v>21</v>
      </c>
      <c r="T3" s="27" t="s">
        <v>22</v>
      </c>
      <c r="U3" s="27" t="s">
        <v>23</v>
      </c>
      <c r="V3" s="28" t="s">
        <v>24</v>
      </c>
      <c r="W3" s="29" t="s">
        <v>25</v>
      </c>
      <c r="X3" s="30" t="s">
        <v>26</v>
      </c>
      <c r="Y3" s="46" t="s">
        <v>27</v>
      </c>
      <c r="Z3" s="47" t="s">
        <v>28</v>
      </c>
      <c r="AA3" s="41" t="s">
        <v>29</v>
      </c>
      <c r="AB3" s="48" t="s">
        <v>30</v>
      </c>
      <c r="AE3" s="2" t="s">
        <v>31</v>
      </c>
    </row>
    <row r="4" s="1" customFormat="1" ht="14.25" hidden="1" customHeight="1" spans="1:31">
      <c r="A4" s="4">
        <v>20230503</v>
      </c>
      <c r="B4" s="4" t="s">
        <v>40</v>
      </c>
      <c r="C4" s="5"/>
      <c r="D4" s="4" t="s">
        <v>34</v>
      </c>
      <c r="E4" s="4" t="s">
        <v>41</v>
      </c>
      <c r="F4" s="4" t="s">
        <v>42</v>
      </c>
      <c r="G4" s="4"/>
      <c r="H4" s="4" t="s">
        <v>43</v>
      </c>
      <c r="I4" s="4" t="s">
        <v>44</v>
      </c>
      <c r="J4" s="4" t="s">
        <v>45</v>
      </c>
      <c r="K4" s="11">
        <v>20</v>
      </c>
      <c r="L4" s="11">
        <v>5800</v>
      </c>
      <c r="M4" s="11">
        <v>8500</v>
      </c>
      <c r="N4" s="11">
        <f t="shared" ref="N4:N10" si="0">M4-L4</f>
        <v>2700</v>
      </c>
      <c r="O4" s="14">
        <f t="shared" ref="O4:O11" si="1">IF(AND($N4&lt;&gt;0,$M4&lt;&gt;0),$N4/$M4,"")</f>
        <v>0.317647058823529</v>
      </c>
      <c r="P4" s="11">
        <v>500</v>
      </c>
      <c r="Q4" s="31">
        <f t="shared" ref="Q4:Q9" si="2">P4*K4</f>
        <v>10000</v>
      </c>
      <c r="R4" s="32">
        <f t="shared" ref="R4:R9" si="3">IF(AND($P4&lt;&gt;0,$M4&lt;&gt;0),$P4/$M4,"")</f>
        <v>0.0588235294117647</v>
      </c>
      <c r="S4" s="33">
        <f t="shared" ref="S4:S9" si="4">IF(AND(($N4*$K4-$Q4)&lt;&gt;0,($M4*$K4)&lt;&gt;0),($N4*$K4-$Q4)/($M4*$K4),"")</f>
        <v>0.258823529411765</v>
      </c>
      <c r="T4" s="34" t="b">
        <f t="shared" ref="T4:T9" si="5">IF($C4="深圳福达通",21%,IF($C4="康为",25%,IF($C4="新浪潮",25%,IF($C4="湖南飞英达",24%,IF($C4="志奋领",25%,IF($C4="腾马",25%))))))</f>
        <v>0</v>
      </c>
      <c r="U4" s="35">
        <v>0.06</v>
      </c>
      <c r="V4" s="36" t="b">
        <f t="shared" ref="V4:V9" si="6">IF(T4-U4+R4&gt;0,T4-U4+R4,IF(T4-U4+R4=0,""))</f>
        <v>0</v>
      </c>
      <c r="W4" s="36" t="str">
        <f t="shared" ref="W4:W9" si="7">IF(S4-V4&lt;0,S4-V4,IF(S4-V4&gt;0,""))</f>
        <v/>
      </c>
      <c r="X4" s="37">
        <f>IFERROR(SUMIF([3]商务费用支付申请!$A:$A,$A4,[3]商务费用支付申请!$C:$C),"")</f>
        <v>0</v>
      </c>
      <c r="Y4" s="49">
        <f t="shared" ref="Y4:Y9" si="8">IF(AND(($N4*$K4-$X4)&lt;&gt;0,($M4*$K4)&lt;&gt;0),($N4*$K4-$X4)/($M4*$K4),"")</f>
        <v>0.317647058823529</v>
      </c>
      <c r="Z4" s="50"/>
      <c r="AA4" s="50" t="str">
        <f t="shared" ref="AA4:AA9" si="9">IF(AB4=0,"已完结","")</f>
        <v/>
      </c>
      <c r="AB4" s="43">
        <f t="shared" ref="AB4:AB9" si="10">X4-Q4</f>
        <v>-10000</v>
      </c>
      <c r="AE4" s="51"/>
    </row>
    <row r="5" s="1" customFormat="1" ht="14.25" hidden="1" customHeight="1" spans="1:31">
      <c r="A5" s="4">
        <v>20230504</v>
      </c>
      <c r="B5" s="4" t="s">
        <v>40</v>
      </c>
      <c r="C5" s="5"/>
      <c r="D5" s="4" t="s">
        <v>34</v>
      </c>
      <c r="E5" s="4" t="s">
        <v>41</v>
      </c>
      <c r="F5" s="4" t="s">
        <v>42</v>
      </c>
      <c r="G5" s="4"/>
      <c r="H5" s="4" t="s">
        <v>43</v>
      </c>
      <c r="I5" s="4" t="s">
        <v>46</v>
      </c>
      <c r="J5" s="4"/>
      <c r="K5" s="11">
        <v>50</v>
      </c>
      <c r="L5" s="11">
        <v>3550</v>
      </c>
      <c r="M5" s="11">
        <v>4600</v>
      </c>
      <c r="N5" s="11">
        <f t="shared" si="0"/>
        <v>1050</v>
      </c>
      <c r="O5" s="14">
        <f t="shared" si="1"/>
        <v>0.228260869565217</v>
      </c>
      <c r="P5" s="11">
        <v>100</v>
      </c>
      <c r="Q5" s="31">
        <f t="shared" si="2"/>
        <v>5000</v>
      </c>
      <c r="R5" s="32">
        <f t="shared" si="3"/>
        <v>0.0217391304347826</v>
      </c>
      <c r="S5" s="33">
        <f t="shared" si="4"/>
        <v>0.206521739130435</v>
      </c>
      <c r="T5" s="34" t="b">
        <f t="shared" si="5"/>
        <v>0</v>
      </c>
      <c r="U5" s="35">
        <v>0.06</v>
      </c>
      <c r="V5" s="36" t="b">
        <f t="shared" si="6"/>
        <v>0</v>
      </c>
      <c r="W5" s="36" t="str">
        <f t="shared" si="7"/>
        <v/>
      </c>
      <c r="X5" s="37">
        <f>IFERROR(SUMIF([3]商务费用支付申请!$A:$A,$A5,[3]商务费用支付申请!$C:$C),"")</f>
        <v>0</v>
      </c>
      <c r="Y5" s="49">
        <f t="shared" si="8"/>
        <v>0.228260869565217</v>
      </c>
      <c r="Z5" s="50"/>
      <c r="AA5" s="50" t="str">
        <f t="shared" si="9"/>
        <v/>
      </c>
      <c r="AB5" s="43">
        <f t="shared" si="10"/>
        <v>-5000</v>
      </c>
      <c r="AE5" s="51"/>
    </row>
    <row r="6" s="1" customFormat="1" ht="14.25" hidden="1" customHeight="1" spans="1:31">
      <c r="A6" s="4">
        <v>20230507</v>
      </c>
      <c r="B6" s="4" t="s">
        <v>40</v>
      </c>
      <c r="C6" s="5" t="s">
        <v>47</v>
      </c>
      <c r="D6" s="4" t="s">
        <v>34</v>
      </c>
      <c r="E6" s="4" t="s">
        <v>48</v>
      </c>
      <c r="F6" s="4" t="s">
        <v>49</v>
      </c>
      <c r="G6" s="4"/>
      <c r="H6" s="4" t="s">
        <v>43</v>
      </c>
      <c r="I6" s="4" t="s">
        <v>50</v>
      </c>
      <c r="J6" s="4" t="s">
        <v>51</v>
      </c>
      <c r="K6" s="11">
        <v>300</v>
      </c>
      <c r="L6" s="11">
        <v>513.27</v>
      </c>
      <c r="M6" s="11">
        <v>1500</v>
      </c>
      <c r="N6" s="11">
        <f t="shared" si="0"/>
        <v>986.73</v>
      </c>
      <c r="O6" s="14">
        <f t="shared" si="1"/>
        <v>0.65782</v>
      </c>
      <c r="P6" s="11">
        <v>300</v>
      </c>
      <c r="Q6" s="31">
        <f t="shared" si="2"/>
        <v>90000</v>
      </c>
      <c r="R6" s="32">
        <f t="shared" si="3"/>
        <v>0.2</v>
      </c>
      <c r="S6" s="33">
        <f t="shared" si="4"/>
        <v>0.45782</v>
      </c>
      <c r="T6" s="34">
        <f t="shared" si="5"/>
        <v>0.25</v>
      </c>
      <c r="U6" s="35">
        <v>0.06</v>
      </c>
      <c r="V6" s="36">
        <f t="shared" si="6"/>
        <v>0.39</v>
      </c>
      <c r="W6" s="36" t="str">
        <f t="shared" si="7"/>
        <v/>
      </c>
      <c r="X6" s="37">
        <f>IFERROR(SUMIF([3]商务费用支付申请!$A:$A,$A6,[3]商务费用支付申请!$C:$C),"")</f>
        <v>33000</v>
      </c>
      <c r="Y6" s="49">
        <f t="shared" si="8"/>
        <v>0.584486666666667</v>
      </c>
      <c r="Z6" s="50" t="s">
        <v>52</v>
      </c>
      <c r="AA6" s="50" t="str">
        <f t="shared" si="9"/>
        <v/>
      </c>
      <c r="AB6" s="43">
        <f t="shared" si="10"/>
        <v>-57000</v>
      </c>
      <c r="AD6" s="1" t="s">
        <v>53</v>
      </c>
      <c r="AE6" s="51">
        <v>45139</v>
      </c>
    </row>
    <row r="7" s="1" customFormat="1" ht="14.25" hidden="1" customHeight="1" spans="1:31">
      <c r="A7" s="4">
        <v>20230617</v>
      </c>
      <c r="B7" s="4" t="s">
        <v>54</v>
      </c>
      <c r="C7" s="5" t="s">
        <v>33</v>
      </c>
      <c r="D7" s="4" t="s">
        <v>34</v>
      </c>
      <c r="E7" s="4" t="s">
        <v>55</v>
      </c>
      <c r="F7" s="4" t="s">
        <v>36</v>
      </c>
      <c r="G7" s="4"/>
      <c r="H7" s="4" t="s">
        <v>56</v>
      </c>
      <c r="I7" s="6" t="s">
        <v>57</v>
      </c>
      <c r="J7" s="4" t="s">
        <v>58</v>
      </c>
      <c r="K7" s="11">
        <v>20</v>
      </c>
      <c r="L7" s="11">
        <v>1600</v>
      </c>
      <c r="M7" s="11">
        <v>3200</v>
      </c>
      <c r="N7" s="11">
        <f t="shared" si="0"/>
        <v>1600</v>
      </c>
      <c r="O7" s="14">
        <f t="shared" si="1"/>
        <v>0.5</v>
      </c>
      <c r="P7" s="11">
        <v>100</v>
      </c>
      <c r="Q7" s="31">
        <f t="shared" si="2"/>
        <v>2000</v>
      </c>
      <c r="R7" s="32">
        <f t="shared" si="3"/>
        <v>0.03125</v>
      </c>
      <c r="S7" s="33">
        <f t="shared" si="4"/>
        <v>0.46875</v>
      </c>
      <c r="T7" s="34">
        <f t="shared" si="5"/>
        <v>0.21</v>
      </c>
      <c r="U7" s="35">
        <v>0.06</v>
      </c>
      <c r="V7" s="36">
        <f t="shared" si="6"/>
        <v>0.18125</v>
      </c>
      <c r="W7" s="36" t="str">
        <f t="shared" si="7"/>
        <v/>
      </c>
      <c r="X7" s="37">
        <f>IFERROR(SUMIF([3]商务费用支付申请!$A:$A,$A7,[3]商务费用支付申请!$C:$C),"")</f>
        <v>0</v>
      </c>
      <c r="Y7" s="49">
        <f t="shared" si="8"/>
        <v>0.5</v>
      </c>
      <c r="Z7" s="52" t="s">
        <v>59</v>
      </c>
      <c r="AA7" s="50" t="str">
        <f t="shared" si="9"/>
        <v/>
      </c>
      <c r="AB7" s="43">
        <f t="shared" si="10"/>
        <v>-2000</v>
      </c>
      <c r="AE7" s="51"/>
    </row>
    <row r="8" s="1" customFormat="1" ht="14.25" hidden="1" customHeight="1" spans="1:31">
      <c r="A8" s="4">
        <v>20230618</v>
      </c>
      <c r="B8" s="4" t="s">
        <v>54</v>
      </c>
      <c r="C8" s="5" t="s">
        <v>33</v>
      </c>
      <c r="D8" s="4" t="s">
        <v>34</v>
      </c>
      <c r="E8" s="4" t="s">
        <v>55</v>
      </c>
      <c r="F8" s="4" t="s">
        <v>36</v>
      </c>
      <c r="G8" s="4"/>
      <c r="H8" s="4" t="s">
        <v>60</v>
      </c>
      <c r="I8" s="6" t="s">
        <v>61</v>
      </c>
      <c r="J8" s="4" t="s">
        <v>62</v>
      </c>
      <c r="K8" s="11">
        <v>5</v>
      </c>
      <c r="L8" s="11">
        <v>3465</v>
      </c>
      <c r="M8" s="11">
        <v>4500</v>
      </c>
      <c r="N8" s="11">
        <f t="shared" si="0"/>
        <v>1035</v>
      </c>
      <c r="O8" s="14">
        <f t="shared" si="1"/>
        <v>0.23</v>
      </c>
      <c r="P8" s="11">
        <v>100</v>
      </c>
      <c r="Q8" s="31">
        <f t="shared" si="2"/>
        <v>500</v>
      </c>
      <c r="R8" s="32">
        <f t="shared" si="3"/>
        <v>0.0222222222222222</v>
      </c>
      <c r="S8" s="33">
        <f t="shared" si="4"/>
        <v>0.207777777777778</v>
      </c>
      <c r="T8" s="34">
        <f t="shared" si="5"/>
        <v>0.21</v>
      </c>
      <c r="U8" s="35">
        <v>0.06</v>
      </c>
      <c r="V8" s="36">
        <f t="shared" si="6"/>
        <v>0.172222222222222</v>
      </c>
      <c r="W8" s="36" t="str">
        <f t="shared" si="7"/>
        <v/>
      </c>
      <c r="X8" s="37">
        <f>IFERROR(SUMIF([3]商务费用支付申请!$A:$A,$A8,[3]商务费用支付申请!$C:$C),"")</f>
        <v>0</v>
      </c>
      <c r="Y8" s="49">
        <f t="shared" si="8"/>
        <v>0.23</v>
      </c>
      <c r="Z8" s="52" t="s">
        <v>63</v>
      </c>
      <c r="AA8" s="50" t="str">
        <f t="shared" si="9"/>
        <v/>
      </c>
      <c r="AB8" s="43">
        <f t="shared" si="10"/>
        <v>-500</v>
      </c>
      <c r="AE8" s="51"/>
    </row>
    <row r="9" s="1" customFormat="1" ht="14.25" customHeight="1" spans="1:31">
      <c r="A9" s="4">
        <v>20230701</v>
      </c>
      <c r="B9" s="4" t="s">
        <v>64</v>
      </c>
      <c r="C9" s="5" t="s">
        <v>33</v>
      </c>
      <c r="D9" s="4" t="s">
        <v>34</v>
      </c>
      <c r="E9" s="4" t="s">
        <v>35</v>
      </c>
      <c r="F9" s="4" t="s">
        <v>65</v>
      </c>
      <c r="G9" s="4"/>
      <c r="H9" s="8">
        <v>45117</v>
      </c>
      <c r="I9" s="6" t="s">
        <v>66</v>
      </c>
      <c r="J9" s="4" t="s">
        <v>67</v>
      </c>
      <c r="K9" s="11">
        <v>13</v>
      </c>
      <c r="L9" s="11">
        <v>199</v>
      </c>
      <c r="M9" s="11">
        <v>565</v>
      </c>
      <c r="N9" s="11">
        <f t="shared" si="0"/>
        <v>366</v>
      </c>
      <c r="O9" s="14">
        <f t="shared" si="1"/>
        <v>0.647787610619469</v>
      </c>
      <c r="P9" s="11">
        <v>100</v>
      </c>
      <c r="Q9" s="31">
        <f t="shared" si="2"/>
        <v>1300</v>
      </c>
      <c r="R9" s="32">
        <f t="shared" si="3"/>
        <v>0.176991150442478</v>
      </c>
      <c r="S9" s="33">
        <f t="shared" si="4"/>
        <v>0.470796460176991</v>
      </c>
      <c r="T9" s="34">
        <f t="shared" si="5"/>
        <v>0.21</v>
      </c>
      <c r="U9" s="35">
        <v>0.06</v>
      </c>
      <c r="V9" s="36">
        <f t="shared" si="6"/>
        <v>0.326991150442478</v>
      </c>
      <c r="W9" s="36" t="str">
        <f t="shared" si="7"/>
        <v/>
      </c>
      <c r="X9" s="37">
        <f>IFERROR(SUMIF([3]商务费用支付申请!$A:$A,$A9,[3]商务费用支付申请!$C:$C),"")</f>
        <v>0</v>
      </c>
      <c r="Y9" s="49">
        <f t="shared" si="8"/>
        <v>0.647787610619469</v>
      </c>
      <c r="Z9" s="50">
        <v>5014784823</v>
      </c>
      <c r="AA9" s="50" t="str">
        <f t="shared" si="9"/>
        <v/>
      </c>
      <c r="AB9" s="43">
        <f t="shared" si="10"/>
        <v>-1300</v>
      </c>
      <c r="AE9" s="51"/>
    </row>
    <row r="10" s="1" customFormat="1" hidden="1" spans="1:30">
      <c r="A10" s="4">
        <v>20230905</v>
      </c>
      <c r="B10" s="4" t="s">
        <v>68</v>
      </c>
      <c r="C10" s="5" t="s">
        <v>33</v>
      </c>
      <c r="D10" s="4" t="s">
        <v>34</v>
      </c>
      <c r="E10" s="4" t="s">
        <v>69</v>
      </c>
      <c r="F10" s="4" t="s">
        <v>70</v>
      </c>
      <c r="G10" s="4"/>
      <c r="H10" s="4" t="s">
        <v>71</v>
      </c>
      <c r="I10" s="4" t="s">
        <v>72</v>
      </c>
      <c r="J10" s="4" t="s">
        <v>73</v>
      </c>
      <c r="K10" s="11">
        <v>80</v>
      </c>
      <c r="L10" s="11">
        <v>2778</v>
      </c>
      <c r="M10" s="11">
        <v>3407</v>
      </c>
      <c r="N10" s="11">
        <f t="shared" si="0"/>
        <v>629</v>
      </c>
      <c r="O10" s="14">
        <f t="shared" si="1"/>
        <v>0.184619900205459</v>
      </c>
      <c r="P10" s="11">
        <v>100</v>
      </c>
      <c r="Q10" s="31">
        <f t="shared" ref="Q10:Q35" si="11">P10*K10</f>
        <v>8000</v>
      </c>
      <c r="R10" s="32">
        <f t="shared" ref="R10:R35" si="12">IF(AND($P10&lt;&gt;0,$M10&lt;&gt;0),$P10/$M10,"")</f>
        <v>0.0293513354857646</v>
      </c>
      <c r="S10" s="33">
        <f t="shared" ref="S10:S35" si="13">IF(AND(($N10*$K10-$Q10)&lt;&gt;0,($M10*$K10)&lt;&gt;0),($N10*$K10-$Q10)/($M10*$K10),"")</f>
        <v>0.155268564719695</v>
      </c>
      <c r="T10" s="34">
        <f t="shared" ref="T10:T35" si="14">IF($C10="深圳福达通",21%,IF($C10="康为",25%,IF($C10="新浪潮",25%,IF($C10="湖南飞英达",24%,IF($C10="志奋领",25%,IF($C10="腾马",25%))))))</f>
        <v>0.21</v>
      </c>
      <c r="U10" s="35">
        <v>0.06</v>
      </c>
      <c r="V10" s="36">
        <f t="shared" ref="V10:V35" si="15">IF(T10-U10+R10&gt;0,T10-U10+R10,IF(T10-U10+R10=0,""))</f>
        <v>0.179351335485765</v>
      </c>
      <c r="W10" s="36">
        <f t="shared" ref="W10:W35" si="16">IF(S10-V10&lt;0,S10-V10,IF(S10-V10&gt;0,""))</f>
        <v>-0.0240827707660703</v>
      </c>
      <c r="X10" s="37">
        <f>IFERROR(SUMIF([3]商务费用支付申请!$A:$A,$A10,[3]商务费用支付申请!$C:$C),"")</f>
        <v>8000</v>
      </c>
      <c r="Y10" s="49">
        <f t="shared" ref="Y10:Y35" si="17">IF(AND(($N10*$K10-$X10)&lt;&gt;0,($M10*$K10)&lt;&gt;0),($N10*$K10-$X10)/($M10*$K10),"")</f>
        <v>0.155268564719695</v>
      </c>
      <c r="Z10" s="74" t="s">
        <v>74</v>
      </c>
      <c r="AA10" s="50" t="str">
        <f t="shared" ref="AA10:AA35" si="18">IF(AB10=0,"已完结","")</f>
        <v>已完结</v>
      </c>
      <c r="AB10" s="43">
        <f t="shared" ref="AB10:AB35" si="19">X10-Q10</f>
        <v>0</v>
      </c>
      <c r="AD10" s="51"/>
    </row>
    <row r="11" s="1" customFormat="1" hidden="1" spans="1:30">
      <c r="A11" s="4">
        <v>20230906</v>
      </c>
      <c r="B11" s="4" t="s">
        <v>68</v>
      </c>
      <c r="C11" s="5" t="s">
        <v>33</v>
      </c>
      <c r="D11" s="4" t="s">
        <v>34</v>
      </c>
      <c r="E11" s="4" t="s">
        <v>69</v>
      </c>
      <c r="F11" s="4" t="s">
        <v>70</v>
      </c>
      <c r="G11" s="4"/>
      <c r="H11" s="4" t="s">
        <v>71</v>
      </c>
      <c r="I11" s="4" t="s">
        <v>75</v>
      </c>
      <c r="J11" s="4"/>
      <c r="K11" s="11">
        <v>50</v>
      </c>
      <c r="L11" s="11">
        <v>1870.5</v>
      </c>
      <c r="M11" s="11">
        <v>3279</v>
      </c>
      <c r="N11" s="11">
        <v>1408.5</v>
      </c>
      <c r="O11" s="14">
        <f t="shared" si="1"/>
        <v>0.429551692589204</v>
      </c>
      <c r="P11" s="11">
        <v>100</v>
      </c>
      <c r="Q11" s="31">
        <f t="shared" si="11"/>
        <v>5000</v>
      </c>
      <c r="R11" s="32">
        <f t="shared" si="12"/>
        <v>0.0304971027752364</v>
      </c>
      <c r="S11" s="33">
        <f t="shared" si="13"/>
        <v>0.399054589813968</v>
      </c>
      <c r="T11" s="34">
        <f t="shared" si="14"/>
        <v>0.21</v>
      </c>
      <c r="U11" s="35">
        <v>0.06</v>
      </c>
      <c r="V11" s="36">
        <f t="shared" si="15"/>
        <v>0.180497102775236</v>
      </c>
      <c r="W11" s="36" t="str">
        <f t="shared" si="16"/>
        <v/>
      </c>
      <c r="X11" s="37">
        <f>IFERROR(SUMIF([3]商务费用支付申请!$A:$A,$A11,[3]商务费用支付申请!$C:$C),"")</f>
        <v>5000</v>
      </c>
      <c r="Y11" s="49">
        <f t="shared" si="17"/>
        <v>0.399054589813968</v>
      </c>
      <c r="Z11" s="52">
        <v>5015543183</v>
      </c>
      <c r="AA11" s="50" t="str">
        <f t="shared" si="18"/>
        <v>已完结</v>
      </c>
      <c r="AB11" s="43">
        <f t="shared" si="19"/>
        <v>0</v>
      </c>
      <c r="AD11" s="51"/>
    </row>
    <row r="12" s="1" customFormat="1" hidden="1" spans="1:30">
      <c r="A12" s="4">
        <v>24</v>
      </c>
      <c r="B12" s="4" t="s">
        <v>76</v>
      </c>
      <c r="C12" s="5" t="s">
        <v>33</v>
      </c>
      <c r="D12" s="4" t="s">
        <v>34</v>
      </c>
      <c r="E12" s="4" t="s">
        <v>55</v>
      </c>
      <c r="F12" s="4" t="s">
        <v>36</v>
      </c>
      <c r="G12" s="4"/>
      <c r="H12" s="4" t="s">
        <v>77</v>
      </c>
      <c r="I12" s="4" t="s">
        <v>78</v>
      </c>
      <c r="J12" s="4" t="s">
        <v>79</v>
      </c>
      <c r="K12" s="11">
        <v>10</v>
      </c>
      <c r="L12" s="11">
        <v>2421</v>
      </c>
      <c r="M12" s="11">
        <v>1505</v>
      </c>
      <c r="N12" s="11">
        <v>916</v>
      </c>
      <c r="O12" s="14">
        <f t="shared" ref="O12:O17" si="20">IF(AND($N12&lt;&gt;0,$M12&lt;&gt;0),$N12/$M12,"")</f>
        <v>0.608637873754153</v>
      </c>
      <c r="P12" s="11">
        <v>100</v>
      </c>
      <c r="Q12" s="31">
        <f t="shared" si="11"/>
        <v>1000</v>
      </c>
      <c r="R12" s="32">
        <f t="shared" si="12"/>
        <v>0.0664451827242525</v>
      </c>
      <c r="S12" s="33">
        <f t="shared" si="13"/>
        <v>0.5421926910299</v>
      </c>
      <c r="T12" s="34">
        <f t="shared" si="14"/>
        <v>0.21</v>
      </c>
      <c r="U12" s="35">
        <v>0.06</v>
      </c>
      <c r="V12" s="36">
        <f t="shared" si="15"/>
        <v>0.216445182724253</v>
      </c>
      <c r="W12" s="36" t="str">
        <f t="shared" si="16"/>
        <v/>
      </c>
      <c r="X12" s="37" t="str">
        <f>IFERROR(SUMIF([3]商务费用支付申请!$A:$A,$A12,[3]商务费用支付申请!$C:$C),"")</f>
        <v/>
      </c>
      <c r="Y12" s="49" t="e">
        <f t="shared" si="17"/>
        <v>#VALUE!</v>
      </c>
      <c r="Z12" s="53" t="s">
        <v>80</v>
      </c>
      <c r="AA12" s="50" t="e">
        <f t="shared" si="18"/>
        <v>#VALUE!</v>
      </c>
      <c r="AB12" s="43" t="e">
        <f t="shared" si="19"/>
        <v>#VALUE!</v>
      </c>
      <c r="AD12" s="51"/>
    </row>
    <row r="13" s="1" customFormat="1" hidden="1" spans="1:30">
      <c r="A13" s="4">
        <v>20230909</v>
      </c>
      <c r="B13" s="4" t="s">
        <v>76</v>
      </c>
      <c r="C13" s="5" t="s">
        <v>33</v>
      </c>
      <c r="D13" s="4" t="s">
        <v>34</v>
      </c>
      <c r="E13" s="4" t="s">
        <v>55</v>
      </c>
      <c r="F13" s="4" t="s">
        <v>36</v>
      </c>
      <c r="G13" s="4"/>
      <c r="H13" s="4" t="s">
        <v>77</v>
      </c>
      <c r="I13" s="4" t="s">
        <v>81</v>
      </c>
      <c r="J13" s="4" t="s">
        <v>75</v>
      </c>
      <c r="K13" s="11">
        <v>5</v>
      </c>
      <c r="L13" s="11">
        <v>3584</v>
      </c>
      <c r="M13" s="11">
        <v>5523</v>
      </c>
      <c r="N13" s="11">
        <v>1939</v>
      </c>
      <c r="O13" s="14">
        <f t="shared" si="20"/>
        <v>0.351077313054499</v>
      </c>
      <c r="P13" s="11">
        <v>100</v>
      </c>
      <c r="Q13" s="31">
        <f t="shared" si="11"/>
        <v>500</v>
      </c>
      <c r="R13" s="32">
        <f t="shared" si="12"/>
        <v>0.0181061017562919</v>
      </c>
      <c r="S13" s="33">
        <f t="shared" si="13"/>
        <v>0.332971211298208</v>
      </c>
      <c r="T13" s="34">
        <f t="shared" si="14"/>
        <v>0.21</v>
      </c>
      <c r="U13" s="35">
        <v>0.06</v>
      </c>
      <c r="V13" s="36">
        <f t="shared" si="15"/>
        <v>0.168106101756292</v>
      </c>
      <c r="W13" s="36" t="str">
        <f t="shared" si="16"/>
        <v/>
      </c>
      <c r="X13" s="37">
        <f>IFERROR(SUMIF([3]商务费用支付申请!$A:$A,$A13,[3]商务费用支付申请!$C:$C),"")</f>
        <v>0</v>
      </c>
      <c r="Y13" s="49">
        <f t="shared" si="17"/>
        <v>0.351077313054499</v>
      </c>
      <c r="Z13" s="53" t="s">
        <v>82</v>
      </c>
      <c r="AA13" s="50" t="str">
        <f t="shared" si="18"/>
        <v/>
      </c>
      <c r="AB13" s="43">
        <f t="shared" si="19"/>
        <v>-500</v>
      </c>
      <c r="AD13" s="51"/>
    </row>
    <row r="14" s="1" customFormat="1" hidden="1" spans="1:30">
      <c r="A14" s="4">
        <v>20230910</v>
      </c>
      <c r="B14" s="4" t="s">
        <v>76</v>
      </c>
      <c r="C14" s="5" t="s">
        <v>33</v>
      </c>
      <c r="D14" s="4" t="s">
        <v>34</v>
      </c>
      <c r="E14" s="4" t="s">
        <v>55</v>
      </c>
      <c r="F14" s="4" t="s">
        <v>36</v>
      </c>
      <c r="G14" s="4"/>
      <c r="H14" s="4" t="s">
        <v>77</v>
      </c>
      <c r="I14" s="4" t="s">
        <v>83</v>
      </c>
      <c r="J14" s="4" t="s">
        <v>84</v>
      </c>
      <c r="K14" s="11">
        <v>10</v>
      </c>
      <c r="L14" s="11">
        <v>1934</v>
      </c>
      <c r="M14" s="11">
        <v>3265</v>
      </c>
      <c r="N14" s="11">
        <v>1331</v>
      </c>
      <c r="O14" s="14">
        <f t="shared" si="20"/>
        <v>0.407656967840735</v>
      </c>
      <c r="P14" s="11">
        <v>100</v>
      </c>
      <c r="Q14" s="31">
        <f t="shared" si="11"/>
        <v>1000</v>
      </c>
      <c r="R14" s="32">
        <f t="shared" si="12"/>
        <v>0.0306278713629403</v>
      </c>
      <c r="S14" s="33">
        <f t="shared" si="13"/>
        <v>0.377029096477795</v>
      </c>
      <c r="T14" s="34">
        <f t="shared" si="14"/>
        <v>0.21</v>
      </c>
      <c r="U14" s="35">
        <v>0.06</v>
      </c>
      <c r="V14" s="36">
        <f t="shared" si="15"/>
        <v>0.18062787136294</v>
      </c>
      <c r="W14" s="36" t="str">
        <f t="shared" si="16"/>
        <v/>
      </c>
      <c r="X14" s="37">
        <f>IFERROR(SUMIF([3]商务费用支付申请!$A:$A,$A14,[3]商务费用支付申请!$C:$C),"")</f>
        <v>0</v>
      </c>
      <c r="Y14" s="49">
        <f t="shared" si="17"/>
        <v>0.407656967840735</v>
      </c>
      <c r="Z14" s="54" t="s">
        <v>85</v>
      </c>
      <c r="AA14" s="50" t="str">
        <f t="shared" si="18"/>
        <v/>
      </c>
      <c r="AB14" s="43">
        <f t="shared" si="19"/>
        <v>-1000</v>
      </c>
      <c r="AD14" s="51"/>
    </row>
    <row r="15" s="1" customFormat="1" hidden="1" spans="1:30">
      <c r="A15" s="4">
        <v>20230911</v>
      </c>
      <c r="B15" s="4" t="s">
        <v>76</v>
      </c>
      <c r="C15" s="5" t="s">
        <v>33</v>
      </c>
      <c r="D15" s="4" t="s">
        <v>34</v>
      </c>
      <c r="E15" s="4" t="s">
        <v>55</v>
      </c>
      <c r="F15" s="4" t="s">
        <v>36</v>
      </c>
      <c r="G15" s="4"/>
      <c r="H15" s="4" t="s">
        <v>77</v>
      </c>
      <c r="I15" s="4" t="s">
        <v>86</v>
      </c>
      <c r="J15" s="4" t="s">
        <v>87</v>
      </c>
      <c r="K15" s="11">
        <v>25</v>
      </c>
      <c r="L15" s="11">
        <v>3456</v>
      </c>
      <c r="M15" s="11">
        <v>2697</v>
      </c>
      <c r="N15" s="11">
        <v>759</v>
      </c>
      <c r="O15" s="14">
        <f t="shared" si="20"/>
        <v>0.281423804226919</v>
      </c>
      <c r="P15" s="11">
        <v>100</v>
      </c>
      <c r="Q15" s="31">
        <f t="shared" si="11"/>
        <v>2500</v>
      </c>
      <c r="R15" s="32">
        <f t="shared" si="12"/>
        <v>0.0370782350760104</v>
      </c>
      <c r="S15" s="33">
        <f t="shared" si="13"/>
        <v>0.244345569150908</v>
      </c>
      <c r="T15" s="34">
        <f t="shared" si="14"/>
        <v>0.21</v>
      </c>
      <c r="U15" s="35">
        <v>0.06</v>
      </c>
      <c r="V15" s="36">
        <f t="shared" si="15"/>
        <v>0.18707823507601</v>
      </c>
      <c r="W15" s="36" t="str">
        <f t="shared" si="16"/>
        <v/>
      </c>
      <c r="X15" s="37">
        <f>IFERROR(SUMIF([3]商务费用支付申请!$A:$A,$A15,[3]商务费用支付申请!$C:$C),"")</f>
        <v>0</v>
      </c>
      <c r="Y15" s="49">
        <f t="shared" si="17"/>
        <v>0.281423804226919</v>
      </c>
      <c r="Z15" s="52" t="s">
        <v>88</v>
      </c>
      <c r="AA15" s="50" t="str">
        <f t="shared" si="18"/>
        <v/>
      </c>
      <c r="AB15" s="43">
        <f t="shared" si="19"/>
        <v>-2500</v>
      </c>
      <c r="AD15" s="51"/>
    </row>
    <row r="16" s="1" customFormat="1" hidden="1" spans="1:30">
      <c r="A16" s="4">
        <v>20230912</v>
      </c>
      <c r="B16" s="4" t="s">
        <v>89</v>
      </c>
      <c r="C16" s="5"/>
      <c r="D16" s="4" t="s">
        <v>34</v>
      </c>
      <c r="E16" s="4" t="s">
        <v>90</v>
      </c>
      <c r="F16" s="4" t="s">
        <v>91</v>
      </c>
      <c r="G16" s="4"/>
      <c r="H16" s="4" t="s">
        <v>71</v>
      </c>
      <c r="I16" s="4" t="s">
        <v>92</v>
      </c>
      <c r="J16" s="4" t="s">
        <v>93</v>
      </c>
      <c r="K16" s="11">
        <v>10</v>
      </c>
      <c r="L16" s="11">
        <v>1195</v>
      </c>
      <c r="M16" s="11">
        <v>1946</v>
      </c>
      <c r="N16" s="11">
        <v>751</v>
      </c>
      <c r="O16" s="14">
        <f t="shared" si="20"/>
        <v>0.385919835560123</v>
      </c>
      <c r="P16" s="11">
        <v>100</v>
      </c>
      <c r="Q16" s="31">
        <f t="shared" si="11"/>
        <v>1000</v>
      </c>
      <c r="R16" s="32">
        <f t="shared" si="12"/>
        <v>0.0513874614594039</v>
      </c>
      <c r="S16" s="33">
        <f t="shared" si="13"/>
        <v>0.334532374100719</v>
      </c>
      <c r="T16" s="34" t="b">
        <f t="shared" si="14"/>
        <v>0</v>
      </c>
      <c r="U16" s="35">
        <v>0.06</v>
      </c>
      <c r="V16" s="36" t="b">
        <f t="shared" si="15"/>
        <v>0</v>
      </c>
      <c r="W16" s="36" t="str">
        <f t="shared" si="16"/>
        <v/>
      </c>
      <c r="X16" s="37">
        <f>IFERROR(SUMIF([3]商务费用支付申请!$A:$A,$A16,[3]商务费用支付申请!$C:$C),"")</f>
        <v>0</v>
      </c>
      <c r="Y16" s="49">
        <f t="shared" si="17"/>
        <v>0.385919835560123</v>
      </c>
      <c r="Z16" s="53"/>
      <c r="AA16" s="50" t="str">
        <f t="shared" si="18"/>
        <v/>
      </c>
      <c r="AB16" s="43">
        <f t="shared" si="19"/>
        <v>-1000</v>
      </c>
      <c r="AD16" s="51"/>
    </row>
    <row r="17" s="1" customFormat="1" ht="14.25" hidden="1" customHeight="1" spans="1:28">
      <c r="A17" s="4">
        <v>20230913</v>
      </c>
      <c r="B17" s="9" t="s">
        <v>94</v>
      </c>
      <c r="C17" s="5"/>
      <c r="D17" s="9" t="s">
        <v>34</v>
      </c>
      <c r="E17" s="9" t="s">
        <v>48</v>
      </c>
      <c r="F17" s="9" t="s">
        <v>49</v>
      </c>
      <c r="G17" s="9"/>
      <c r="H17" s="9" t="s">
        <v>95</v>
      </c>
      <c r="I17" s="9" t="s">
        <v>96</v>
      </c>
      <c r="J17" s="9" t="s">
        <v>97</v>
      </c>
      <c r="K17" s="9">
        <v>60</v>
      </c>
      <c r="L17" s="9">
        <v>430</v>
      </c>
      <c r="M17" s="9">
        <v>1500</v>
      </c>
      <c r="N17" s="9">
        <f>M17-L17</f>
        <v>1070</v>
      </c>
      <c r="O17" s="15">
        <f t="shared" si="20"/>
        <v>0.713333333333333</v>
      </c>
      <c r="P17" s="9">
        <v>300</v>
      </c>
      <c r="Q17" s="31">
        <f t="shared" si="11"/>
        <v>18000</v>
      </c>
      <c r="R17" s="38">
        <f t="shared" si="12"/>
        <v>0.2</v>
      </c>
      <c r="S17" s="33">
        <f t="shared" si="13"/>
        <v>0.513333333333333</v>
      </c>
      <c r="T17" s="34" t="b">
        <f t="shared" si="14"/>
        <v>0</v>
      </c>
      <c r="U17" s="35">
        <v>0.06</v>
      </c>
      <c r="V17" s="36">
        <f t="shared" si="15"/>
        <v>0.14</v>
      </c>
      <c r="W17" s="36" t="str">
        <f t="shared" si="16"/>
        <v/>
      </c>
      <c r="X17" s="39" t="str">
        <f>IFERROR(SUMIF([2]商务费用支付申请!$A:$A,$A17,[2]商务费用支付申请!$C:$C),"")</f>
        <v/>
      </c>
      <c r="Y17" s="49" t="e">
        <f t="shared" si="17"/>
        <v>#VALUE!</v>
      </c>
      <c r="Z17" s="53"/>
      <c r="AA17" s="50" t="e">
        <f t="shared" si="18"/>
        <v>#VALUE!</v>
      </c>
      <c r="AB17" s="43" t="e">
        <f t="shared" si="19"/>
        <v>#VALUE!</v>
      </c>
    </row>
    <row r="18" s="1" customFormat="1" ht="14.25" hidden="1" customHeight="1" spans="1:28">
      <c r="A18" s="4">
        <v>20230915</v>
      </c>
      <c r="B18" s="9" t="s">
        <v>98</v>
      </c>
      <c r="C18" s="5" t="s">
        <v>33</v>
      </c>
      <c r="D18" s="9" t="s">
        <v>34</v>
      </c>
      <c r="E18" s="9" t="s">
        <v>99</v>
      </c>
      <c r="F18" s="9" t="s">
        <v>100</v>
      </c>
      <c r="G18" s="9"/>
      <c r="H18" s="9" t="s">
        <v>101</v>
      </c>
      <c r="I18" s="9" t="s">
        <v>46</v>
      </c>
      <c r="J18" s="10" t="s">
        <v>102</v>
      </c>
      <c r="K18" s="9">
        <v>150</v>
      </c>
      <c r="L18" s="9">
        <v>3000</v>
      </c>
      <c r="M18" s="9">
        <v>4051</v>
      </c>
      <c r="N18" s="9">
        <v>1051</v>
      </c>
      <c r="O18" s="15">
        <v>0.259442113058504</v>
      </c>
      <c r="P18" s="9">
        <v>100</v>
      </c>
      <c r="Q18" s="31">
        <f t="shared" si="11"/>
        <v>15000</v>
      </c>
      <c r="R18" s="32">
        <f t="shared" si="12"/>
        <v>0.0246852628980499</v>
      </c>
      <c r="S18" s="33">
        <f t="shared" si="13"/>
        <v>0.234756850160454</v>
      </c>
      <c r="T18" s="34">
        <f t="shared" si="14"/>
        <v>0.21</v>
      </c>
      <c r="U18" s="35">
        <v>0.06</v>
      </c>
      <c r="V18" s="36">
        <f t="shared" si="15"/>
        <v>0.17468526289805</v>
      </c>
      <c r="W18" s="36" t="str">
        <f t="shared" si="16"/>
        <v/>
      </c>
      <c r="X18" s="37">
        <f>IFERROR(SUMIF([3]商务费用支付申请!$A:$A,$A18,[3]商务费用支付申请!$C:$C),"")</f>
        <v>0</v>
      </c>
      <c r="Y18" s="49">
        <f t="shared" si="17"/>
        <v>0.259442113058504</v>
      </c>
      <c r="Z18" s="53">
        <v>4100171839</v>
      </c>
      <c r="AA18" s="50" t="str">
        <f t="shared" si="18"/>
        <v/>
      </c>
      <c r="AB18" s="43">
        <f t="shared" si="19"/>
        <v>-15000</v>
      </c>
    </row>
    <row r="19" s="1" customFormat="1" ht="14.25" hidden="1" customHeight="1" spans="1:28">
      <c r="A19" s="4">
        <v>20230916</v>
      </c>
      <c r="B19" s="9" t="s">
        <v>98</v>
      </c>
      <c r="C19" s="5"/>
      <c r="D19" s="9" t="s">
        <v>34</v>
      </c>
      <c r="E19" s="9" t="s">
        <v>103</v>
      </c>
      <c r="F19" s="9" t="s">
        <v>104</v>
      </c>
      <c r="G19" s="9"/>
      <c r="H19" s="9" t="s">
        <v>101</v>
      </c>
      <c r="I19" s="9" t="s">
        <v>105</v>
      </c>
      <c r="J19" s="9" t="s">
        <v>106</v>
      </c>
      <c r="K19" s="9">
        <v>100</v>
      </c>
      <c r="L19" s="9">
        <v>125</v>
      </c>
      <c r="M19" s="9">
        <v>278</v>
      </c>
      <c r="N19" s="9">
        <v>153</v>
      </c>
      <c r="O19" s="15">
        <f t="shared" ref="O19:O22" si="21">IF(AND($N19&lt;&gt;0,$M19&lt;&gt;0),$N19/$M19,"")</f>
        <v>0.550359712230216</v>
      </c>
      <c r="P19" s="9">
        <v>50</v>
      </c>
      <c r="Q19" s="31">
        <f t="shared" si="11"/>
        <v>5000</v>
      </c>
      <c r="R19" s="32">
        <f t="shared" si="12"/>
        <v>0.179856115107914</v>
      </c>
      <c r="S19" s="33">
        <f t="shared" si="13"/>
        <v>0.370503597122302</v>
      </c>
      <c r="T19" s="34" t="b">
        <f t="shared" si="14"/>
        <v>0</v>
      </c>
      <c r="U19" s="35">
        <v>0.06</v>
      </c>
      <c r="V19" s="36">
        <f t="shared" si="15"/>
        <v>0.119856115107914</v>
      </c>
      <c r="W19" s="36" t="str">
        <f t="shared" si="16"/>
        <v/>
      </c>
      <c r="X19" s="37">
        <f>IFERROR(SUMIF([3]商务费用支付申请!$A:$A,$A19,[3]商务费用支付申请!$C:$C),"")</f>
        <v>0</v>
      </c>
      <c r="Y19" s="49">
        <f t="shared" si="17"/>
        <v>0.550359712230216</v>
      </c>
      <c r="Z19" s="53"/>
      <c r="AA19" s="50" t="str">
        <f t="shared" si="18"/>
        <v/>
      </c>
      <c r="AB19" s="43">
        <f t="shared" si="19"/>
        <v>-5000</v>
      </c>
    </row>
    <row r="20" s="1" customFormat="1" ht="14.25" customHeight="1" spans="1:28">
      <c r="A20" s="4">
        <v>20230917</v>
      </c>
      <c r="B20" s="9" t="s">
        <v>98</v>
      </c>
      <c r="C20" s="5" t="s">
        <v>33</v>
      </c>
      <c r="D20" s="9" t="s">
        <v>34</v>
      </c>
      <c r="E20" s="9" t="s">
        <v>35</v>
      </c>
      <c r="F20" s="9" t="s">
        <v>107</v>
      </c>
      <c r="G20" s="9"/>
      <c r="H20" s="9" t="s">
        <v>101</v>
      </c>
      <c r="I20" s="9" t="s">
        <v>108</v>
      </c>
      <c r="J20" s="9" t="s">
        <v>108</v>
      </c>
      <c r="K20" s="9">
        <v>5</v>
      </c>
      <c r="L20" s="9">
        <v>1435</v>
      </c>
      <c r="M20" s="9">
        <v>2042</v>
      </c>
      <c r="N20" s="9">
        <v>607</v>
      </c>
      <c r="O20" s="15">
        <f t="shared" si="21"/>
        <v>0.297257590597453</v>
      </c>
      <c r="P20" s="9">
        <v>100</v>
      </c>
      <c r="Q20" s="31">
        <f t="shared" si="11"/>
        <v>500</v>
      </c>
      <c r="R20" s="32">
        <f t="shared" si="12"/>
        <v>0.0489715964740451</v>
      </c>
      <c r="S20" s="33">
        <f t="shared" si="13"/>
        <v>0.248285994123408</v>
      </c>
      <c r="T20" s="34">
        <f t="shared" si="14"/>
        <v>0.21</v>
      </c>
      <c r="U20" s="35">
        <v>0.06</v>
      </c>
      <c r="V20" s="36">
        <f t="shared" si="15"/>
        <v>0.198971596474045</v>
      </c>
      <c r="W20" s="36" t="str">
        <f t="shared" si="16"/>
        <v/>
      </c>
      <c r="X20" s="37">
        <f>IFERROR(SUMIF([3]商务费用支付申请!$A:$A,$A20,[3]商务费用支付申请!$C:$C),"")</f>
        <v>0</v>
      </c>
      <c r="Y20" s="49">
        <f t="shared" si="17"/>
        <v>0.297257590597453</v>
      </c>
      <c r="Z20" s="53">
        <v>5016047370</v>
      </c>
      <c r="AA20" s="50" t="str">
        <f t="shared" si="18"/>
        <v/>
      </c>
      <c r="AB20" s="43">
        <f t="shared" si="19"/>
        <v>-500</v>
      </c>
    </row>
    <row r="21" s="1" customFormat="1" ht="14.25" customHeight="1" spans="1:28">
      <c r="A21" s="4">
        <v>20230918</v>
      </c>
      <c r="B21" s="9" t="s">
        <v>98</v>
      </c>
      <c r="C21" s="5" t="s">
        <v>33</v>
      </c>
      <c r="D21" s="9" t="s">
        <v>34</v>
      </c>
      <c r="E21" s="9" t="s">
        <v>35</v>
      </c>
      <c r="F21" s="9" t="s">
        <v>107</v>
      </c>
      <c r="G21" s="9"/>
      <c r="H21" s="9" t="s">
        <v>101</v>
      </c>
      <c r="I21" s="9" t="s">
        <v>109</v>
      </c>
      <c r="J21" s="9" t="s">
        <v>110</v>
      </c>
      <c r="K21" s="9">
        <v>10</v>
      </c>
      <c r="L21" s="9">
        <v>557.52</v>
      </c>
      <c r="M21" s="9">
        <v>1523</v>
      </c>
      <c r="N21" s="9">
        <f>M21-L21</f>
        <v>965.48</v>
      </c>
      <c r="O21" s="15">
        <f t="shared" si="21"/>
        <v>0.633933026920552</v>
      </c>
      <c r="P21" s="9">
        <v>100</v>
      </c>
      <c r="Q21" s="31">
        <f t="shared" si="11"/>
        <v>1000</v>
      </c>
      <c r="R21" s="32">
        <f t="shared" si="12"/>
        <v>0.0656598818122127</v>
      </c>
      <c r="S21" s="33">
        <f t="shared" si="13"/>
        <v>0.568273145108339</v>
      </c>
      <c r="T21" s="34">
        <f t="shared" si="14"/>
        <v>0.21</v>
      </c>
      <c r="U21" s="35">
        <v>0.06</v>
      </c>
      <c r="V21" s="36">
        <f t="shared" si="15"/>
        <v>0.215659881812213</v>
      </c>
      <c r="W21" s="36" t="str">
        <f t="shared" si="16"/>
        <v/>
      </c>
      <c r="X21" s="37">
        <f>IFERROR(SUMIF([3]商务费用支付申请!$A:$A,$A21,[3]商务费用支付申请!$C:$C),"")</f>
        <v>0</v>
      </c>
      <c r="Y21" s="49">
        <f t="shared" si="17"/>
        <v>0.633933026920552</v>
      </c>
      <c r="Z21" s="53">
        <v>5016144563</v>
      </c>
      <c r="AA21" s="50" t="str">
        <f t="shared" si="18"/>
        <v/>
      </c>
      <c r="AB21" s="43">
        <f t="shared" si="19"/>
        <v>-1000</v>
      </c>
    </row>
    <row r="22" s="1" customFormat="1" ht="14.25" customHeight="1" spans="1:28">
      <c r="A22" s="4">
        <v>20230919</v>
      </c>
      <c r="B22" s="9" t="s">
        <v>98</v>
      </c>
      <c r="C22" s="5" t="s">
        <v>33</v>
      </c>
      <c r="D22" s="9" t="s">
        <v>34</v>
      </c>
      <c r="E22" s="9" t="s">
        <v>35</v>
      </c>
      <c r="F22" s="9" t="s">
        <v>107</v>
      </c>
      <c r="G22" s="9"/>
      <c r="H22" s="9" t="s">
        <v>101</v>
      </c>
      <c r="I22" s="9" t="s">
        <v>111</v>
      </c>
      <c r="J22" s="9" t="s">
        <v>111</v>
      </c>
      <c r="K22" s="9">
        <v>20</v>
      </c>
      <c r="L22" s="9">
        <v>557.52</v>
      </c>
      <c r="M22" s="9">
        <v>1523</v>
      </c>
      <c r="N22" s="9">
        <f>M22-L22</f>
        <v>965.48</v>
      </c>
      <c r="O22" s="15">
        <f t="shared" si="21"/>
        <v>0.633933026920552</v>
      </c>
      <c r="P22" s="9">
        <v>200</v>
      </c>
      <c r="Q22" s="31">
        <f t="shared" si="11"/>
        <v>4000</v>
      </c>
      <c r="R22" s="32">
        <f t="shared" si="12"/>
        <v>0.131319763624425</v>
      </c>
      <c r="S22" s="33">
        <f t="shared" si="13"/>
        <v>0.502613263296126</v>
      </c>
      <c r="T22" s="34">
        <f t="shared" si="14"/>
        <v>0.21</v>
      </c>
      <c r="U22" s="35">
        <v>0.06</v>
      </c>
      <c r="V22" s="36">
        <f t="shared" si="15"/>
        <v>0.281319763624425</v>
      </c>
      <c r="W22" s="36" t="str">
        <f t="shared" si="16"/>
        <v/>
      </c>
      <c r="X22" s="37">
        <f>IFERROR(SUMIF([3]商务费用支付申请!$A:$A,$A22,[3]商务费用支付申请!$C:$C),"")</f>
        <v>0</v>
      </c>
      <c r="Y22" s="49">
        <f t="shared" si="17"/>
        <v>0.633933026920552</v>
      </c>
      <c r="Z22" s="53">
        <v>5016152412</v>
      </c>
      <c r="AA22" s="50" t="str">
        <f t="shared" si="18"/>
        <v/>
      </c>
      <c r="AB22" s="43">
        <f t="shared" si="19"/>
        <v>-4000</v>
      </c>
    </row>
    <row r="23" s="1" customFormat="1" ht="14.25" hidden="1" customHeight="1" spans="1:28">
      <c r="A23" s="4">
        <v>20231016</v>
      </c>
      <c r="B23" s="9" t="s">
        <v>112</v>
      </c>
      <c r="C23" s="5" t="s">
        <v>33</v>
      </c>
      <c r="D23" s="9" t="s">
        <v>34</v>
      </c>
      <c r="E23" s="9" t="s">
        <v>113</v>
      </c>
      <c r="F23" s="9" t="s">
        <v>100</v>
      </c>
      <c r="G23" s="9"/>
      <c r="H23" s="9" t="s">
        <v>101</v>
      </c>
      <c r="I23" s="9" t="s">
        <v>114</v>
      </c>
      <c r="J23" s="9" t="s">
        <v>115</v>
      </c>
      <c r="K23" s="9">
        <v>15</v>
      </c>
      <c r="L23" s="9">
        <v>710</v>
      </c>
      <c r="M23" s="9">
        <v>1693</v>
      </c>
      <c r="N23" s="9">
        <v>983</v>
      </c>
      <c r="O23" s="15">
        <v>0.580626107501477</v>
      </c>
      <c r="P23" s="9">
        <v>100</v>
      </c>
      <c r="Q23" s="31">
        <f t="shared" si="11"/>
        <v>1500</v>
      </c>
      <c r="R23" s="32">
        <f t="shared" si="12"/>
        <v>0.0590667454223272</v>
      </c>
      <c r="S23" s="33">
        <f t="shared" si="13"/>
        <v>0.521559362079149</v>
      </c>
      <c r="T23" s="34">
        <f t="shared" si="14"/>
        <v>0.21</v>
      </c>
      <c r="U23" s="35">
        <v>0.06</v>
      </c>
      <c r="V23" s="36">
        <f t="shared" si="15"/>
        <v>0.209066745422327</v>
      </c>
      <c r="W23" s="36" t="str">
        <f t="shared" si="16"/>
        <v/>
      </c>
      <c r="X23" s="37">
        <f>IFERROR(SUMIF([3]商务费用支付申请!$A:$A,$A23,[3]商务费用支付申请!$C:$C),"")</f>
        <v>0</v>
      </c>
      <c r="Y23" s="49">
        <f t="shared" si="17"/>
        <v>0.580626107501477</v>
      </c>
      <c r="Z23" s="53">
        <v>5015873045</v>
      </c>
      <c r="AA23" s="50" t="str">
        <f t="shared" si="18"/>
        <v/>
      </c>
      <c r="AB23" s="43">
        <f t="shared" si="19"/>
        <v>-1500</v>
      </c>
    </row>
    <row r="24" s="1" customFormat="1" ht="14.25" hidden="1" customHeight="1" spans="1:28">
      <c r="A24" s="4">
        <v>20231017</v>
      </c>
      <c r="B24" s="9" t="s">
        <v>112</v>
      </c>
      <c r="C24" s="5" t="s">
        <v>33</v>
      </c>
      <c r="D24" s="9" t="s">
        <v>34</v>
      </c>
      <c r="E24" s="9" t="s">
        <v>55</v>
      </c>
      <c r="F24" s="9" t="s">
        <v>36</v>
      </c>
      <c r="G24" s="9"/>
      <c r="H24" s="9" t="s">
        <v>77</v>
      </c>
      <c r="I24" s="9" t="s">
        <v>81</v>
      </c>
      <c r="J24" s="9" t="s">
        <v>75</v>
      </c>
      <c r="K24" s="9">
        <v>10</v>
      </c>
      <c r="L24" s="9">
        <v>3584</v>
      </c>
      <c r="M24" s="9">
        <v>5523</v>
      </c>
      <c r="N24" s="9">
        <v>1939</v>
      </c>
      <c r="O24" s="15">
        <f>IF(AND($N24&lt;&gt;0,$M24&lt;&gt;0),$N24/$M24,"")</f>
        <v>0.351077313054499</v>
      </c>
      <c r="P24" s="9">
        <v>100</v>
      </c>
      <c r="Q24" s="31">
        <f t="shared" si="11"/>
        <v>1000</v>
      </c>
      <c r="R24" s="32">
        <f t="shared" si="12"/>
        <v>0.0181061017562919</v>
      </c>
      <c r="S24" s="33">
        <f t="shared" si="13"/>
        <v>0.332971211298208</v>
      </c>
      <c r="T24" s="34">
        <f t="shared" si="14"/>
        <v>0.21</v>
      </c>
      <c r="U24" s="35">
        <v>0.06</v>
      </c>
      <c r="V24" s="36">
        <f t="shared" si="15"/>
        <v>0.168106101756292</v>
      </c>
      <c r="W24" s="36" t="str">
        <f t="shared" si="16"/>
        <v/>
      </c>
      <c r="X24" s="37">
        <f>IFERROR(SUMIF([3]商务费用支付申请!$A:$A,$A24,[3]商务费用支付申请!$C:$C),"")</f>
        <v>0</v>
      </c>
      <c r="Y24" s="49">
        <f t="shared" si="17"/>
        <v>0.351077313054499</v>
      </c>
      <c r="Z24" s="54" t="s">
        <v>116</v>
      </c>
      <c r="AA24" s="50" t="str">
        <f t="shared" si="18"/>
        <v/>
      </c>
      <c r="AB24" s="43">
        <f t="shared" si="19"/>
        <v>-1000</v>
      </c>
    </row>
    <row r="25" s="1" customFormat="1" ht="14.25" hidden="1" customHeight="1" spans="1:28">
      <c r="A25" s="4">
        <v>20231018</v>
      </c>
      <c r="B25" s="9" t="s">
        <v>117</v>
      </c>
      <c r="C25" s="5" t="s">
        <v>33</v>
      </c>
      <c r="D25" s="9" t="s">
        <v>34</v>
      </c>
      <c r="E25" s="9" t="s">
        <v>118</v>
      </c>
      <c r="F25" s="9" t="s">
        <v>119</v>
      </c>
      <c r="G25" s="9"/>
      <c r="H25" s="9" t="s">
        <v>120</v>
      </c>
      <c r="I25" s="9" t="s">
        <v>92</v>
      </c>
      <c r="J25" s="9" t="s">
        <v>93</v>
      </c>
      <c r="K25" s="9">
        <v>15</v>
      </c>
      <c r="L25" s="9">
        <v>1195</v>
      </c>
      <c r="M25" s="9">
        <v>1946</v>
      </c>
      <c r="N25" s="9">
        <v>751</v>
      </c>
      <c r="O25" s="15">
        <f>IF(AND($N25&lt;&gt;0,$M25&lt;&gt;0),$N25/$M25,"")</f>
        <v>0.385919835560123</v>
      </c>
      <c r="P25" s="9">
        <v>100</v>
      </c>
      <c r="Q25" s="31">
        <f t="shared" si="11"/>
        <v>1500</v>
      </c>
      <c r="R25" s="32">
        <f t="shared" si="12"/>
        <v>0.0513874614594039</v>
      </c>
      <c r="S25" s="33">
        <f t="shared" si="13"/>
        <v>0.334532374100719</v>
      </c>
      <c r="T25" s="34">
        <f t="shared" si="14"/>
        <v>0.21</v>
      </c>
      <c r="U25" s="35">
        <v>0.06</v>
      </c>
      <c r="V25" s="36">
        <f t="shared" si="15"/>
        <v>0.201387461459404</v>
      </c>
      <c r="W25" s="36" t="str">
        <f t="shared" si="16"/>
        <v/>
      </c>
      <c r="X25" s="37">
        <f>IFERROR(SUMIF([3]商务费用支付申请!$A:$A,$A25,[3]商务费用支付申请!$C:$C),"")</f>
        <v>0</v>
      </c>
      <c r="Y25" s="49">
        <f t="shared" si="17"/>
        <v>0.385919835560123</v>
      </c>
      <c r="Z25" s="53">
        <v>5015906180</v>
      </c>
      <c r="AA25" s="50" t="str">
        <f t="shared" si="18"/>
        <v/>
      </c>
      <c r="AB25" s="43">
        <f t="shared" si="19"/>
        <v>-1500</v>
      </c>
    </row>
    <row r="26" s="1" customFormat="1" ht="14.25" hidden="1" customHeight="1" spans="1:28">
      <c r="A26" s="4">
        <v>20231101</v>
      </c>
      <c r="B26" s="9" t="s">
        <v>121</v>
      </c>
      <c r="C26" s="5" t="s">
        <v>33</v>
      </c>
      <c r="D26" s="9" t="s">
        <v>34</v>
      </c>
      <c r="E26" s="9" t="s">
        <v>55</v>
      </c>
      <c r="F26" s="9" t="s">
        <v>36</v>
      </c>
      <c r="G26" s="9"/>
      <c r="H26" s="9" t="s">
        <v>120</v>
      </c>
      <c r="I26" s="9" t="s">
        <v>122</v>
      </c>
      <c r="J26" s="9" t="s">
        <v>123</v>
      </c>
      <c r="K26" s="9">
        <v>5</v>
      </c>
      <c r="L26" s="9">
        <v>3540</v>
      </c>
      <c r="M26" s="9">
        <v>6900</v>
      </c>
      <c r="N26" s="9">
        <v>3360</v>
      </c>
      <c r="O26" s="15">
        <v>0.48695652173913</v>
      </c>
      <c r="P26" s="9">
        <v>300</v>
      </c>
      <c r="Q26" s="31">
        <f t="shared" si="11"/>
        <v>1500</v>
      </c>
      <c r="R26" s="32">
        <f t="shared" si="12"/>
        <v>0.0434782608695652</v>
      </c>
      <c r="S26" s="33">
        <f t="shared" si="13"/>
        <v>0.443478260869565</v>
      </c>
      <c r="T26" s="34">
        <f t="shared" si="14"/>
        <v>0.21</v>
      </c>
      <c r="U26" s="35">
        <v>0.06</v>
      </c>
      <c r="V26" s="36">
        <f t="shared" si="15"/>
        <v>0.193478260869565</v>
      </c>
      <c r="W26" s="36" t="str">
        <f t="shared" si="16"/>
        <v/>
      </c>
      <c r="X26" s="37">
        <f>IFERROR(SUMIF([3]商务费用支付申请!$A:$A,$A26,[3]商务费用支付申请!$C:$C),"")</f>
        <v>0</v>
      </c>
      <c r="Y26" s="49">
        <f t="shared" si="17"/>
        <v>0.48695652173913</v>
      </c>
      <c r="Z26" s="75" t="s">
        <v>124</v>
      </c>
      <c r="AA26" s="50" t="str">
        <f t="shared" si="18"/>
        <v/>
      </c>
      <c r="AB26" s="43">
        <f t="shared" si="19"/>
        <v>-1500</v>
      </c>
    </row>
    <row r="27" s="1" customFormat="1" ht="14.25" hidden="1" customHeight="1" spans="1:28">
      <c r="A27" s="4">
        <v>20231102</v>
      </c>
      <c r="B27" s="9" t="s">
        <v>125</v>
      </c>
      <c r="C27" s="5" t="s">
        <v>33</v>
      </c>
      <c r="D27" s="9" t="s">
        <v>34</v>
      </c>
      <c r="E27" s="9" t="s">
        <v>55</v>
      </c>
      <c r="F27" s="9" t="s">
        <v>36</v>
      </c>
      <c r="G27" s="9"/>
      <c r="H27" s="9" t="s">
        <v>120</v>
      </c>
      <c r="I27" s="9" t="s">
        <v>57</v>
      </c>
      <c r="J27" s="9" t="s">
        <v>58</v>
      </c>
      <c r="K27" s="9">
        <v>10</v>
      </c>
      <c r="L27" s="9">
        <v>1600</v>
      </c>
      <c r="M27" s="9">
        <v>3200</v>
      </c>
      <c r="N27" s="9">
        <v>1600</v>
      </c>
      <c r="O27" s="15">
        <v>0.5</v>
      </c>
      <c r="P27" s="9">
        <v>100</v>
      </c>
      <c r="Q27" s="31">
        <f t="shared" si="11"/>
        <v>1000</v>
      </c>
      <c r="R27" s="32">
        <f t="shared" si="12"/>
        <v>0.03125</v>
      </c>
      <c r="S27" s="33">
        <f t="shared" si="13"/>
        <v>0.46875</v>
      </c>
      <c r="T27" s="34">
        <f t="shared" si="14"/>
        <v>0.21</v>
      </c>
      <c r="U27" s="35">
        <v>0.06</v>
      </c>
      <c r="V27" s="36">
        <f t="shared" si="15"/>
        <v>0.18125</v>
      </c>
      <c r="W27" s="36" t="str">
        <f t="shared" si="16"/>
        <v/>
      </c>
      <c r="X27" s="37">
        <f>IFERROR(SUMIF([3]商务费用支付申请!$A:$A,$A27,[3]商务费用支付申请!$C:$C),"")</f>
        <v>0</v>
      </c>
      <c r="Y27" s="49">
        <f t="shared" si="17"/>
        <v>0.5</v>
      </c>
      <c r="Z27" s="53" t="s">
        <v>126</v>
      </c>
      <c r="AA27" s="50" t="str">
        <f t="shared" si="18"/>
        <v/>
      </c>
      <c r="AB27" s="43">
        <f t="shared" si="19"/>
        <v>-1000</v>
      </c>
    </row>
    <row r="28" s="1" customFormat="1" ht="14.25" hidden="1" customHeight="1" spans="1:28">
      <c r="A28" s="4">
        <v>20231103</v>
      </c>
      <c r="B28" s="9" t="s">
        <v>125</v>
      </c>
      <c r="C28" s="5" t="s">
        <v>33</v>
      </c>
      <c r="D28" s="9" t="s">
        <v>34</v>
      </c>
      <c r="E28" s="9" t="s">
        <v>55</v>
      </c>
      <c r="F28" s="9" t="s">
        <v>36</v>
      </c>
      <c r="G28" s="9"/>
      <c r="H28" s="9" t="s">
        <v>120</v>
      </c>
      <c r="I28" s="9" t="s">
        <v>83</v>
      </c>
      <c r="J28" s="9" t="s">
        <v>127</v>
      </c>
      <c r="K28" s="9">
        <v>8</v>
      </c>
      <c r="L28" s="9">
        <v>1934</v>
      </c>
      <c r="M28" s="9">
        <v>3265</v>
      </c>
      <c r="N28" s="9">
        <v>1331</v>
      </c>
      <c r="O28" s="15">
        <v>0.407656967840735</v>
      </c>
      <c r="P28" s="9">
        <v>100</v>
      </c>
      <c r="Q28" s="31">
        <f t="shared" si="11"/>
        <v>800</v>
      </c>
      <c r="R28" s="32">
        <f t="shared" si="12"/>
        <v>0.0306278713629403</v>
      </c>
      <c r="S28" s="33">
        <f t="shared" si="13"/>
        <v>0.377029096477795</v>
      </c>
      <c r="T28" s="34">
        <f t="shared" si="14"/>
        <v>0.21</v>
      </c>
      <c r="U28" s="35">
        <v>0.06</v>
      </c>
      <c r="V28" s="36">
        <f t="shared" si="15"/>
        <v>0.18062787136294</v>
      </c>
      <c r="W28" s="36" t="str">
        <f t="shared" si="16"/>
        <v/>
      </c>
      <c r="X28" s="37">
        <f>IFERROR(SUMIF([3]商务费用支付申请!$A:$A,$A28,[3]商务费用支付申请!$C:$C),"")</f>
        <v>0</v>
      </c>
      <c r="Y28" s="49">
        <f t="shared" si="17"/>
        <v>0.407656967840735</v>
      </c>
      <c r="Z28" s="55" t="s">
        <v>128</v>
      </c>
      <c r="AA28" s="50" t="str">
        <f t="shared" si="18"/>
        <v/>
      </c>
      <c r="AB28" s="43">
        <f t="shared" si="19"/>
        <v>-800</v>
      </c>
    </row>
    <row r="29" s="1" customFormat="1" ht="14.25" customHeight="1" spans="1:28">
      <c r="A29" s="4">
        <v>20231104</v>
      </c>
      <c r="B29" s="9" t="s">
        <v>125</v>
      </c>
      <c r="C29" s="5" t="s">
        <v>33</v>
      </c>
      <c r="D29" s="9" t="s">
        <v>34</v>
      </c>
      <c r="E29" s="9" t="s">
        <v>55</v>
      </c>
      <c r="F29" s="9" t="s">
        <v>65</v>
      </c>
      <c r="G29" s="9"/>
      <c r="H29" s="9" t="s">
        <v>120</v>
      </c>
      <c r="I29" s="9" t="s">
        <v>66</v>
      </c>
      <c r="J29" s="9" t="s">
        <v>67</v>
      </c>
      <c r="K29" s="9">
        <v>73</v>
      </c>
      <c r="L29" s="9">
        <v>199</v>
      </c>
      <c r="M29" s="9">
        <v>565</v>
      </c>
      <c r="N29" s="9">
        <v>366</v>
      </c>
      <c r="O29" s="15">
        <v>0.647787610619469</v>
      </c>
      <c r="P29" s="9">
        <v>100</v>
      </c>
      <c r="Q29" s="31">
        <f t="shared" si="11"/>
        <v>7300</v>
      </c>
      <c r="R29" s="32">
        <f t="shared" si="12"/>
        <v>0.176991150442478</v>
      </c>
      <c r="S29" s="33">
        <f t="shared" si="13"/>
        <v>0.470796460176991</v>
      </c>
      <c r="T29" s="34">
        <f t="shared" si="14"/>
        <v>0.21</v>
      </c>
      <c r="U29" s="35">
        <v>0.06</v>
      </c>
      <c r="V29" s="36">
        <f t="shared" si="15"/>
        <v>0.326991150442478</v>
      </c>
      <c r="W29" s="36" t="str">
        <f t="shared" si="16"/>
        <v/>
      </c>
      <c r="X29" s="37">
        <f>IFERROR(SUMIF([3]商务费用支付申请!$A:$A,$A29,[3]商务费用支付申请!$C:$C),"")</f>
        <v>0</v>
      </c>
      <c r="Y29" s="49">
        <f t="shared" si="17"/>
        <v>0.647787610619469</v>
      </c>
      <c r="Z29" s="53" t="s">
        <v>129</v>
      </c>
      <c r="AA29" s="50" t="str">
        <f t="shared" si="18"/>
        <v/>
      </c>
      <c r="AB29" s="43">
        <f t="shared" si="19"/>
        <v>-7300</v>
      </c>
    </row>
    <row r="30" s="1" customFormat="1" ht="14.25" hidden="1" customHeight="1" spans="1:28">
      <c r="A30" s="4">
        <v>20231105</v>
      </c>
      <c r="B30" s="9" t="s">
        <v>125</v>
      </c>
      <c r="C30" s="5"/>
      <c r="D30" s="9" t="s">
        <v>34</v>
      </c>
      <c r="E30" s="9" t="s">
        <v>48</v>
      </c>
      <c r="F30" s="9" t="s">
        <v>49</v>
      </c>
      <c r="G30" s="9"/>
      <c r="H30" s="9" t="s">
        <v>130</v>
      </c>
      <c r="I30" s="9" t="s">
        <v>131</v>
      </c>
      <c r="J30" s="9" t="s">
        <v>67</v>
      </c>
      <c r="K30" s="9">
        <v>100</v>
      </c>
      <c r="L30" s="9">
        <v>513.27</v>
      </c>
      <c r="M30" s="9">
        <v>1814</v>
      </c>
      <c r="N30" s="9">
        <v>1300.73</v>
      </c>
      <c r="O30" s="15">
        <v>0.717050716648291</v>
      </c>
      <c r="P30" s="9">
        <v>400</v>
      </c>
      <c r="Q30" s="31">
        <f t="shared" si="11"/>
        <v>40000</v>
      </c>
      <c r="R30" s="32">
        <f t="shared" si="12"/>
        <v>0.220507166482911</v>
      </c>
      <c r="S30" s="33">
        <f t="shared" si="13"/>
        <v>0.49654355016538</v>
      </c>
      <c r="T30" s="34" t="b">
        <f t="shared" si="14"/>
        <v>0</v>
      </c>
      <c r="U30" s="35">
        <v>0.06</v>
      </c>
      <c r="V30" s="36">
        <f t="shared" si="15"/>
        <v>0.160507166482911</v>
      </c>
      <c r="W30" s="36" t="str">
        <f t="shared" si="16"/>
        <v/>
      </c>
      <c r="X30" s="37">
        <f>IFERROR(SUMIF([3]商务费用支付申请!$A:$A,$A30,[3]商务费用支付申请!$C:$C),"")</f>
        <v>0</v>
      </c>
      <c r="Y30" s="49">
        <f t="shared" si="17"/>
        <v>0.717050716648291</v>
      </c>
      <c r="Z30" s="53"/>
      <c r="AA30" s="50" t="str">
        <f t="shared" si="18"/>
        <v/>
      </c>
      <c r="AB30" s="43">
        <f t="shared" si="19"/>
        <v>-40000</v>
      </c>
    </row>
    <row r="31" s="1" customFormat="1" ht="14.25" hidden="1" customHeight="1" spans="1:28">
      <c r="A31" s="4">
        <v>20231106</v>
      </c>
      <c r="B31" s="9" t="s">
        <v>132</v>
      </c>
      <c r="C31" s="5" t="s">
        <v>33</v>
      </c>
      <c r="D31" s="9" t="s">
        <v>34</v>
      </c>
      <c r="E31" s="9" t="s">
        <v>133</v>
      </c>
      <c r="F31" s="9" t="s">
        <v>100</v>
      </c>
      <c r="G31" s="9"/>
      <c r="H31" s="9" t="s">
        <v>120</v>
      </c>
      <c r="I31" s="9" t="s">
        <v>114</v>
      </c>
      <c r="J31" s="9" t="s">
        <v>115</v>
      </c>
      <c r="K31" s="9">
        <v>15</v>
      </c>
      <c r="L31" s="9">
        <v>710</v>
      </c>
      <c r="M31" s="9">
        <v>1693</v>
      </c>
      <c r="N31" s="9">
        <v>983</v>
      </c>
      <c r="O31" s="15">
        <v>0.580626107501477</v>
      </c>
      <c r="P31" s="9">
        <v>100</v>
      </c>
      <c r="Q31" s="31">
        <f t="shared" si="11"/>
        <v>1500</v>
      </c>
      <c r="R31" s="32">
        <f t="shared" si="12"/>
        <v>0.0590667454223272</v>
      </c>
      <c r="S31" s="33">
        <f t="shared" si="13"/>
        <v>0.521559362079149</v>
      </c>
      <c r="T31" s="34">
        <f t="shared" si="14"/>
        <v>0.21</v>
      </c>
      <c r="U31" s="35">
        <v>0.06</v>
      </c>
      <c r="V31" s="36">
        <f t="shared" si="15"/>
        <v>0.209066745422327</v>
      </c>
      <c r="W31" s="36" t="str">
        <f t="shared" si="16"/>
        <v/>
      </c>
      <c r="X31" s="37">
        <f>IFERROR(SUMIF([3]商务费用支付申请!$A:$A,$A31,[3]商务费用支付申请!$C:$C),"")</f>
        <v>0</v>
      </c>
      <c r="Y31" s="49">
        <f t="shared" si="17"/>
        <v>0.580626107501477</v>
      </c>
      <c r="Z31" s="53">
        <v>5016047773</v>
      </c>
      <c r="AA31" s="50" t="str">
        <f t="shared" si="18"/>
        <v/>
      </c>
      <c r="AB31" s="43">
        <f t="shared" si="19"/>
        <v>-1500</v>
      </c>
    </row>
    <row r="32" s="1" customFormat="1" ht="14.25" hidden="1" customHeight="1" spans="1:28">
      <c r="A32" s="4">
        <v>20231107</v>
      </c>
      <c r="B32" s="9" t="s">
        <v>132</v>
      </c>
      <c r="C32" s="5" t="s">
        <v>33</v>
      </c>
      <c r="D32" s="9" t="s">
        <v>34</v>
      </c>
      <c r="E32" s="9" t="s">
        <v>134</v>
      </c>
      <c r="F32" s="9" t="s">
        <v>100</v>
      </c>
      <c r="G32" s="9"/>
      <c r="H32" s="9" t="s">
        <v>120</v>
      </c>
      <c r="I32" s="9" t="s">
        <v>46</v>
      </c>
      <c r="J32" s="9" t="s">
        <v>102</v>
      </c>
      <c r="K32" s="9">
        <v>187</v>
      </c>
      <c r="L32" s="9">
        <v>3000</v>
      </c>
      <c r="M32" s="9">
        <v>4051</v>
      </c>
      <c r="N32" s="9">
        <v>1051</v>
      </c>
      <c r="O32" s="15">
        <v>0.259442113058504</v>
      </c>
      <c r="P32" s="9">
        <v>100</v>
      </c>
      <c r="Q32" s="31">
        <f t="shared" si="11"/>
        <v>18700</v>
      </c>
      <c r="R32" s="32">
        <f t="shared" si="12"/>
        <v>0.0246852628980499</v>
      </c>
      <c r="S32" s="33">
        <f t="shared" si="13"/>
        <v>0.234756850160454</v>
      </c>
      <c r="T32" s="34">
        <f t="shared" si="14"/>
        <v>0.21</v>
      </c>
      <c r="U32" s="35">
        <v>0.06</v>
      </c>
      <c r="V32" s="36">
        <f t="shared" si="15"/>
        <v>0.17468526289805</v>
      </c>
      <c r="W32" s="36" t="str">
        <f t="shared" si="16"/>
        <v/>
      </c>
      <c r="X32" s="37">
        <f>IFERROR(SUMIF([3]商务费用支付申请!$A:$A,$A32,[3]商务费用支付申请!$C:$C),"")</f>
        <v>0</v>
      </c>
      <c r="Y32" s="49">
        <f t="shared" si="17"/>
        <v>0.259442113058504</v>
      </c>
      <c r="Z32" s="53" t="s">
        <v>135</v>
      </c>
      <c r="AA32" s="50" t="str">
        <f t="shared" si="18"/>
        <v/>
      </c>
      <c r="AB32" s="43">
        <f t="shared" si="19"/>
        <v>-18700</v>
      </c>
    </row>
    <row r="33" s="1" customFormat="1" ht="14.25" hidden="1" customHeight="1" spans="1:28">
      <c r="A33" s="4">
        <v>20231108</v>
      </c>
      <c r="B33" s="9" t="s">
        <v>132</v>
      </c>
      <c r="C33" s="5" t="s">
        <v>33</v>
      </c>
      <c r="D33" s="9" t="s">
        <v>34</v>
      </c>
      <c r="E33" s="9" t="s">
        <v>136</v>
      </c>
      <c r="F33" s="9" t="s">
        <v>137</v>
      </c>
      <c r="G33" s="9"/>
      <c r="H33" s="9" t="s">
        <v>120</v>
      </c>
      <c r="I33" s="9" t="s">
        <v>92</v>
      </c>
      <c r="J33" s="9" t="s">
        <v>93</v>
      </c>
      <c r="K33" s="9">
        <v>26</v>
      </c>
      <c r="L33" s="9">
        <v>1195</v>
      </c>
      <c r="M33" s="9">
        <v>1946</v>
      </c>
      <c r="N33" s="9">
        <v>751</v>
      </c>
      <c r="O33" s="15">
        <v>0.385919835560123</v>
      </c>
      <c r="P33" s="9">
        <v>100</v>
      </c>
      <c r="Q33" s="31">
        <f t="shared" si="11"/>
        <v>2600</v>
      </c>
      <c r="R33" s="32">
        <f t="shared" si="12"/>
        <v>0.0513874614594039</v>
      </c>
      <c r="S33" s="33">
        <f t="shared" si="13"/>
        <v>0.334532374100719</v>
      </c>
      <c r="T33" s="34">
        <f t="shared" si="14"/>
        <v>0.21</v>
      </c>
      <c r="U33" s="35">
        <v>0.06</v>
      </c>
      <c r="V33" s="36">
        <f t="shared" si="15"/>
        <v>0.201387461459404</v>
      </c>
      <c r="W33" s="36" t="str">
        <f t="shared" si="16"/>
        <v/>
      </c>
      <c r="X33" s="37">
        <f>IFERROR(SUMIF([3]商务费用支付申请!$A:$A,$A33,[3]商务费用支付申请!$C:$C),"")</f>
        <v>0</v>
      </c>
      <c r="Y33" s="49">
        <f t="shared" si="17"/>
        <v>0.385919835560123</v>
      </c>
      <c r="Z33" s="53" t="s">
        <v>138</v>
      </c>
      <c r="AA33" s="50" t="str">
        <f t="shared" si="18"/>
        <v/>
      </c>
      <c r="AB33" s="43">
        <f t="shared" si="19"/>
        <v>-2600</v>
      </c>
    </row>
    <row r="34" s="1" customFormat="1" ht="14.25" hidden="1" customHeight="1" spans="1:28">
      <c r="A34" s="4">
        <v>20231109</v>
      </c>
      <c r="B34" s="9" t="s">
        <v>132</v>
      </c>
      <c r="C34" s="5"/>
      <c r="D34" s="9" t="s">
        <v>34</v>
      </c>
      <c r="E34" s="9" t="s">
        <v>136</v>
      </c>
      <c r="F34" s="9" t="s">
        <v>137</v>
      </c>
      <c r="G34" s="9"/>
      <c r="H34" s="9" t="s">
        <v>120</v>
      </c>
      <c r="I34" s="9" t="s">
        <v>139</v>
      </c>
      <c r="J34" s="9" t="s">
        <v>140</v>
      </c>
      <c r="K34" s="9">
        <v>8</v>
      </c>
      <c r="L34" s="9">
        <v>4005</v>
      </c>
      <c r="M34" s="9"/>
      <c r="N34" s="9"/>
      <c r="O34" s="15" t="s">
        <v>141</v>
      </c>
      <c r="P34" s="9">
        <v>100</v>
      </c>
      <c r="Q34" s="31">
        <f t="shared" si="11"/>
        <v>800</v>
      </c>
      <c r="R34" s="32" t="str">
        <f t="shared" si="12"/>
        <v/>
      </c>
      <c r="S34" s="33" t="str">
        <f t="shared" si="13"/>
        <v/>
      </c>
      <c r="T34" s="34" t="b">
        <f t="shared" si="14"/>
        <v>0</v>
      </c>
      <c r="U34" s="35">
        <v>0.06</v>
      </c>
      <c r="V34" s="36" t="e">
        <f t="shared" si="15"/>
        <v>#VALUE!</v>
      </c>
      <c r="W34" s="36" t="e">
        <f t="shared" si="16"/>
        <v>#VALUE!</v>
      </c>
      <c r="X34" s="37">
        <f>IFERROR(SUMIF([3]商务费用支付申请!$A:$A,$A34,[3]商务费用支付申请!$C:$C),"")</f>
        <v>0</v>
      </c>
      <c r="Y34" s="49" t="str">
        <f t="shared" si="17"/>
        <v/>
      </c>
      <c r="Z34" s="53"/>
      <c r="AA34" s="50" t="str">
        <f t="shared" si="18"/>
        <v/>
      </c>
      <c r="AB34" s="43">
        <f t="shared" si="19"/>
        <v>-800</v>
      </c>
    </row>
    <row r="35" s="1" customFormat="1" ht="14.25" hidden="1" customHeight="1" spans="1:28">
      <c r="A35" s="4">
        <v>20231110</v>
      </c>
      <c r="B35" s="9" t="s">
        <v>142</v>
      </c>
      <c r="C35" s="5" t="s">
        <v>33</v>
      </c>
      <c r="D35" s="9" t="s">
        <v>34</v>
      </c>
      <c r="E35" s="9" t="s">
        <v>133</v>
      </c>
      <c r="F35" s="9" t="s">
        <v>100</v>
      </c>
      <c r="G35" s="9"/>
      <c r="H35" s="9" t="s">
        <v>120</v>
      </c>
      <c r="I35" s="9" t="s">
        <v>114</v>
      </c>
      <c r="J35" s="9" t="s">
        <v>115</v>
      </c>
      <c r="K35" s="9">
        <v>93</v>
      </c>
      <c r="L35" s="9">
        <v>840</v>
      </c>
      <c r="M35" s="9">
        <v>1693</v>
      </c>
      <c r="N35" s="9">
        <v>850</v>
      </c>
      <c r="O35" s="15">
        <v>0.502067336089781</v>
      </c>
      <c r="P35" s="9">
        <v>100</v>
      </c>
      <c r="Q35" s="31">
        <f t="shared" si="11"/>
        <v>9300</v>
      </c>
      <c r="R35" s="32">
        <f t="shared" si="12"/>
        <v>0.0590667454223272</v>
      </c>
      <c r="S35" s="33">
        <f t="shared" si="13"/>
        <v>0.443000590667454</v>
      </c>
      <c r="T35" s="34">
        <f t="shared" si="14"/>
        <v>0.21</v>
      </c>
      <c r="U35" s="35">
        <v>0.06</v>
      </c>
      <c r="V35" s="36">
        <f t="shared" si="15"/>
        <v>0.209066745422327</v>
      </c>
      <c r="W35" s="36" t="str">
        <f t="shared" si="16"/>
        <v/>
      </c>
      <c r="X35" s="37">
        <f>IFERROR(SUMIF([3]商务费用支付申请!$A:$A,$A35,[3]商务费用支付申请!$C:$C),"")</f>
        <v>0</v>
      </c>
      <c r="Y35" s="49">
        <f t="shared" si="17"/>
        <v>0.502067336089781</v>
      </c>
      <c r="Z35" s="53" t="s">
        <v>143</v>
      </c>
      <c r="AA35" s="50" t="str">
        <f t="shared" si="18"/>
        <v/>
      </c>
      <c r="AB35" s="43">
        <f t="shared" si="19"/>
        <v>-9300</v>
      </c>
    </row>
    <row r="36" s="1" customFormat="1" ht="14.25" hidden="1" customHeight="1" spans="1:28">
      <c r="A36" s="4">
        <v>20231112</v>
      </c>
      <c r="B36" s="9" t="s">
        <v>144</v>
      </c>
      <c r="C36" s="5" t="s">
        <v>33</v>
      </c>
      <c r="D36" s="9" t="s">
        <v>34</v>
      </c>
      <c r="E36" s="9" t="s">
        <v>136</v>
      </c>
      <c r="F36" s="9" t="s">
        <v>137</v>
      </c>
      <c r="G36" s="9"/>
      <c r="H36" s="9" t="s">
        <v>145</v>
      </c>
      <c r="I36" s="9" t="s">
        <v>92</v>
      </c>
      <c r="J36" s="9" t="s">
        <v>93</v>
      </c>
      <c r="K36" s="9">
        <v>40</v>
      </c>
      <c r="L36" s="9">
        <v>1195</v>
      </c>
      <c r="M36" s="9">
        <v>1946</v>
      </c>
      <c r="N36" s="9">
        <v>751</v>
      </c>
      <c r="O36" s="15">
        <v>0.385919835560123</v>
      </c>
      <c r="P36" s="9">
        <v>100</v>
      </c>
      <c r="Q36" s="31">
        <f t="shared" ref="Q36:Q59" si="22">P36*K36</f>
        <v>4000</v>
      </c>
      <c r="R36" s="32">
        <f t="shared" ref="R36:R59" si="23">IF(AND($P36&lt;&gt;0,$M36&lt;&gt;0),$P36/$M36,"")</f>
        <v>0.0513874614594039</v>
      </c>
      <c r="S36" s="33">
        <f t="shared" ref="S36:S59" si="24">IF(AND(($N36*$K36-$Q36)&lt;&gt;0,($M36*$K36)&lt;&gt;0),($N36*$K36-$Q36)/($M36*$K36),"")</f>
        <v>0.334532374100719</v>
      </c>
      <c r="T36" s="34">
        <f t="shared" ref="T36:T59" si="25">IF($C36="深圳福达通",21%,IF($C36="康为",25%,IF($C36="新浪潮",25%,IF($C36="湖南飞英达",24%,IF($C36="志奋领",25%,IF($C36="腾马",25%))))))</f>
        <v>0.21</v>
      </c>
      <c r="U36" s="35">
        <v>0.06</v>
      </c>
      <c r="V36" s="36">
        <f t="shared" ref="V36:V59" si="26">IF(T36-U36+R36&gt;0,T36-U36+R36,IF(T36-U36+R36=0,""))</f>
        <v>0.201387461459404</v>
      </c>
      <c r="W36" s="36" t="str">
        <f t="shared" ref="W36:W59" si="27">IF(S36-V36&lt;0,S36-V36,IF(S36-V36&gt;0,""))</f>
        <v/>
      </c>
      <c r="X36" s="37">
        <f>IFERROR(SUMIF([3]商务费用支付申请!$A:$A,$A36,[3]商务费用支付申请!$C:$C),"")</f>
        <v>0</v>
      </c>
      <c r="Y36" s="49">
        <f t="shared" ref="Y36:Y59" si="28">IF(AND(($N36*$K36-$X36)&lt;&gt;0,($M36*$K36)&lt;&gt;0),($N36*$K36-$X36)/($M36*$K36),"")</f>
        <v>0.385919835560123</v>
      </c>
      <c r="Z36" s="53"/>
      <c r="AA36" s="50" t="str">
        <f t="shared" ref="AA36:AA59" si="29">IF(AB36=0,"已完结","")</f>
        <v/>
      </c>
      <c r="AB36" s="43">
        <f t="shared" ref="AB36:AB59" si="30">X36-Q36</f>
        <v>-4000</v>
      </c>
    </row>
    <row r="37" s="1" customFormat="1" ht="14.25" hidden="1" customHeight="1" spans="1:28">
      <c r="A37" s="4">
        <v>20231113</v>
      </c>
      <c r="B37" s="9" t="s">
        <v>144</v>
      </c>
      <c r="C37" s="5" t="s">
        <v>33</v>
      </c>
      <c r="D37" s="9" t="s">
        <v>34</v>
      </c>
      <c r="E37" s="9" t="s">
        <v>136</v>
      </c>
      <c r="F37" s="9" t="s">
        <v>137</v>
      </c>
      <c r="G37" s="9"/>
      <c r="H37" s="9" t="s">
        <v>145</v>
      </c>
      <c r="I37" s="9" t="s">
        <v>146</v>
      </c>
      <c r="J37" s="9"/>
      <c r="K37" s="9">
        <v>20</v>
      </c>
      <c r="L37" s="9">
        <v>826</v>
      </c>
      <c r="M37" s="9">
        <v>2042</v>
      </c>
      <c r="N37" s="9">
        <v>1216</v>
      </c>
      <c r="O37" s="15">
        <v>0.5955</v>
      </c>
      <c r="P37" s="9">
        <v>100</v>
      </c>
      <c r="Q37" s="31">
        <f t="shared" si="22"/>
        <v>2000</v>
      </c>
      <c r="R37" s="32">
        <f t="shared" si="23"/>
        <v>0.0489715964740451</v>
      </c>
      <c r="S37" s="33">
        <f t="shared" si="24"/>
        <v>0.546523016650343</v>
      </c>
      <c r="T37" s="34">
        <f t="shared" si="25"/>
        <v>0.21</v>
      </c>
      <c r="U37" s="35">
        <v>0.06</v>
      </c>
      <c r="V37" s="36">
        <f t="shared" si="26"/>
        <v>0.198971596474045</v>
      </c>
      <c r="W37" s="36" t="str">
        <f t="shared" si="27"/>
        <v/>
      </c>
      <c r="X37" s="37">
        <f>IFERROR(SUMIF([3]商务费用支付申请!$A:$A,$A37,[3]商务费用支付申请!$C:$C),"")</f>
        <v>0</v>
      </c>
      <c r="Y37" s="49">
        <f t="shared" si="28"/>
        <v>0.595494613124388</v>
      </c>
      <c r="Z37" s="53" t="s">
        <v>147</v>
      </c>
      <c r="AA37" s="50" t="str">
        <f t="shared" si="29"/>
        <v/>
      </c>
      <c r="AB37" s="43">
        <f t="shared" si="30"/>
        <v>-2000</v>
      </c>
    </row>
    <row r="38" s="1" customFormat="1" ht="14.25" hidden="1" customHeight="1" spans="1:28">
      <c r="A38" s="4">
        <v>20231114</v>
      </c>
      <c r="B38" s="9" t="s">
        <v>144</v>
      </c>
      <c r="C38" s="5" t="s">
        <v>33</v>
      </c>
      <c r="D38" s="9" t="s">
        <v>34</v>
      </c>
      <c r="E38" s="9" t="s">
        <v>55</v>
      </c>
      <c r="F38" s="9" t="s">
        <v>36</v>
      </c>
      <c r="G38" s="9"/>
      <c r="H38" s="9" t="s">
        <v>145</v>
      </c>
      <c r="I38" s="9" t="s">
        <v>92</v>
      </c>
      <c r="J38" s="9" t="s">
        <v>93</v>
      </c>
      <c r="K38" s="9">
        <v>20</v>
      </c>
      <c r="L38" s="9">
        <v>1195</v>
      </c>
      <c r="M38" s="9">
        <v>1946</v>
      </c>
      <c r="N38" s="9">
        <v>751</v>
      </c>
      <c r="O38" s="15">
        <v>0.385919835560123</v>
      </c>
      <c r="P38" s="9">
        <v>100</v>
      </c>
      <c r="Q38" s="31">
        <f t="shared" si="22"/>
        <v>2000</v>
      </c>
      <c r="R38" s="32">
        <f t="shared" si="23"/>
        <v>0.0513874614594039</v>
      </c>
      <c r="S38" s="33">
        <f t="shared" si="24"/>
        <v>0.334532374100719</v>
      </c>
      <c r="T38" s="34">
        <f t="shared" si="25"/>
        <v>0.21</v>
      </c>
      <c r="U38" s="35">
        <v>0.06</v>
      </c>
      <c r="V38" s="36">
        <f t="shared" si="26"/>
        <v>0.201387461459404</v>
      </c>
      <c r="W38" s="36" t="str">
        <f t="shared" si="27"/>
        <v/>
      </c>
      <c r="X38" s="37">
        <f>IFERROR(SUMIF([3]商务费用支付申请!$A:$A,$A38,[3]商务费用支付申请!$C:$C),"")</f>
        <v>0</v>
      </c>
      <c r="Y38" s="49">
        <f t="shared" si="28"/>
        <v>0.385919835560123</v>
      </c>
      <c r="Z38" s="56" t="s">
        <v>148</v>
      </c>
      <c r="AA38" s="50" t="str">
        <f t="shared" si="29"/>
        <v/>
      </c>
      <c r="AB38" s="43">
        <f t="shared" si="30"/>
        <v>-2000</v>
      </c>
    </row>
    <row r="39" s="1" customFormat="1" ht="14.25" hidden="1" customHeight="1" spans="1:28">
      <c r="A39" s="4">
        <v>20231115</v>
      </c>
      <c r="B39" s="9" t="s">
        <v>144</v>
      </c>
      <c r="C39" s="5" t="s">
        <v>33</v>
      </c>
      <c r="D39" s="9" t="s">
        <v>34</v>
      </c>
      <c r="E39" s="9" t="s">
        <v>149</v>
      </c>
      <c r="F39" s="9" t="s">
        <v>150</v>
      </c>
      <c r="G39" s="9"/>
      <c r="H39" s="9" t="s">
        <v>120</v>
      </c>
      <c r="I39" s="9" t="s">
        <v>114</v>
      </c>
      <c r="J39" s="9" t="s">
        <v>151</v>
      </c>
      <c r="K39" s="9">
        <v>20</v>
      </c>
      <c r="L39" s="9">
        <v>557.52</v>
      </c>
      <c r="M39" s="9">
        <v>2059</v>
      </c>
      <c r="N39" s="9">
        <v>1501.48</v>
      </c>
      <c r="O39" s="15">
        <v>0.729227780475959</v>
      </c>
      <c r="P39" s="9">
        <v>100</v>
      </c>
      <c r="Q39" s="31">
        <f t="shared" si="22"/>
        <v>2000</v>
      </c>
      <c r="R39" s="32">
        <f t="shared" si="23"/>
        <v>0.0485672656629432</v>
      </c>
      <c r="S39" s="33">
        <f t="shared" si="24"/>
        <v>0.680660514813016</v>
      </c>
      <c r="T39" s="34">
        <f t="shared" si="25"/>
        <v>0.21</v>
      </c>
      <c r="U39" s="35">
        <v>0.06</v>
      </c>
      <c r="V39" s="36">
        <f t="shared" si="26"/>
        <v>0.198567265662943</v>
      </c>
      <c r="W39" s="36" t="str">
        <f t="shared" si="27"/>
        <v/>
      </c>
      <c r="X39" s="37">
        <f>IFERROR(SUMIF([3]商务费用支付申请!$A:$A,$A39,[3]商务费用支付申请!$C:$C),"")</f>
        <v>0</v>
      </c>
      <c r="Y39" s="49">
        <f t="shared" si="28"/>
        <v>0.729227780475959</v>
      </c>
      <c r="Z39" s="56" t="s">
        <v>152</v>
      </c>
      <c r="AA39" s="50" t="str">
        <f t="shared" si="29"/>
        <v/>
      </c>
      <c r="AB39" s="43">
        <f t="shared" si="30"/>
        <v>-2000</v>
      </c>
    </row>
    <row r="40" s="1" customFormat="1" ht="14.25" hidden="1" customHeight="1" spans="1:28">
      <c r="A40" s="4">
        <v>20231116</v>
      </c>
      <c r="B40" s="9" t="s">
        <v>144</v>
      </c>
      <c r="C40" s="5" t="s">
        <v>33</v>
      </c>
      <c r="D40" s="9" t="s">
        <v>34</v>
      </c>
      <c r="E40" s="9" t="s">
        <v>149</v>
      </c>
      <c r="F40" s="9" t="s">
        <v>150</v>
      </c>
      <c r="G40" s="9"/>
      <c r="H40" s="9" t="s">
        <v>120</v>
      </c>
      <c r="I40" s="9" t="s">
        <v>114</v>
      </c>
      <c r="J40" s="9"/>
      <c r="K40" s="9">
        <v>70</v>
      </c>
      <c r="L40" s="9">
        <v>840</v>
      </c>
      <c r="M40" s="9">
        <v>1693</v>
      </c>
      <c r="N40" s="9">
        <v>850</v>
      </c>
      <c r="O40" s="15">
        <v>0.502067336089781</v>
      </c>
      <c r="P40" s="9">
        <v>100</v>
      </c>
      <c r="Q40" s="31">
        <f t="shared" si="22"/>
        <v>7000</v>
      </c>
      <c r="R40" s="32">
        <f t="shared" si="23"/>
        <v>0.0590667454223272</v>
      </c>
      <c r="S40" s="33">
        <f t="shared" si="24"/>
        <v>0.443000590667454</v>
      </c>
      <c r="T40" s="34">
        <f t="shared" si="25"/>
        <v>0.21</v>
      </c>
      <c r="U40" s="35">
        <v>0.06</v>
      </c>
      <c r="V40" s="36">
        <f t="shared" si="26"/>
        <v>0.209066745422327</v>
      </c>
      <c r="W40" s="36" t="str">
        <f t="shared" si="27"/>
        <v/>
      </c>
      <c r="X40" s="37">
        <f>IFERROR(SUMIF([3]商务费用支付申请!$A:$A,$A40,[3]商务费用支付申请!$C:$C),"")</f>
        <v>0</v>
      </c>
      <c r="Y40" s="49">
        <f t="shared" si="28"/>
        <v>0.502067336089781</v>
      </c>
      <c r="Z40" s="57" t="s">
        <v>153</v>
      </c>
      <c r="AA40" s="50" t="str">
        <f t="shared" si="29"/>
        <v/>
      </c>
      <c r="AB40" s="43">
        <f t="shared" si="30"/>
        <v>-7000</v>
      </c>
    </row>
    <row r="41" s="1" customFormat="1" ht="14.25" hidden="1" customHeight="1" spans="1:28">
      <c r="A41" s="4">
        <v>20231117</v>
      </c>
      <c r="B41" s="9" t="s">
        <v>144</v>
      </c>
      <c r="C41" s="5"/>
      <c r="D41" s="9" t="s">
        <v>34</v>
      </c>
      <c r="E41" s="9" t="s">
        <v>149</v>
      </c>
      <c r="F41" s="9" t="s">
        <v>150</v>
      </c>
      <c r="G41" s="9"/>
      <c r="H41" s="9" t="s">
        <v>154</v>
      </c>
      <c r="I41" s="9" t="s">
        <v>83</v>
      </c>
      <c r="J41" s="9" t="s">
        <v>127</v>
      </c>
      <c r="K41" s="9">
        <v>15</v>
      </c>
      <c r="L41" s="9">
        <v>1934</v>
      </c>
      <c r="M41" s="9">
        <v>3265</v>
      </c>
      <c r="N41" s="9">
        <v>1331</v>
      </c>
      <c r="O41" s="15">
        <v>0.407656967840735</v>
      </c>
      <c r="P41" s="9">
        <v>100</v>
      </c>
      <c r="Q41" s="31">
        <f t="shared" si="22"/>
        <v>1500</v>
      </c>
      <c r="R41" s="32">
        <f t="shared" si="23"/>
        <v>0.0306278713629403</v>
      </c>
      <c r="S41" s="33">
        <f t="shared" si="24"/>
        <v>0.377029096477795</v>
      </c>
      <c r="T41" s="34" t="b">
        <f t="shared" si="25"/>
        <v>0</v>
      </c>
      <c r="U41" s="35">
        <v>0.06</v>
      </c>
      <c r="V41" s="36" t="b">
        <f t="shared" si="26"/>
        <v>0</v>
      </c>
      <c r="W41" s="36" t="str">
        <f t="shared" si="27"/>
        <v/>
      </c>
      <c r="X41" s="37">
        <f>IFERROR(SUMIF([3]商务费用支付申请!$A:$A,$A41,[3]商务费用支付申请!$C:$C),"")</f>
        <v>0</v>
      </c>
      <c r="Y41" s="49">
        <f t="shared" si="28"/>
        <v>0.407656967840735</v>
      </c>
      <c r="Z41" s="53"/>
      <c r="AA41" s="50" t="str">
        <f t="shared" si="29"/>
        <v/>
      </c>
      <c r="AB41" s="43">
        <f t="shared" si="30"/>
        <v>-1500</v>
      </c>
    </row>
    <row r="42" s="1" customFormat="1" ht="14.25" hidden="1" customHeight="1" spans="1:28">
      <c r="A42" s="4">
        <v>20231118</v>
      </c>
      <c r="B42" s="9" t="s">
        <v>144</v>
      </c>
      <c r="C42" s="5"/>
      <c r="D42" s="9" t="s">
        <v>34</v>
      </c>
      <c r="E42" s="9" t="s">
        <v>149</v>
      </c>
      <c r="F42" s="9" t="s">
        <v>150</v>
      </c>
      <c r="G42" s="9"/>
      <c r="H42" s="9" t="s">
        <v>154</v>
      </c>
      <c r="I42" s="9" t="s">
        <v>155</v>
      </c>
      <c r="J42" s="9"/>
      <c r="K42" s="9">
        <v>10</v>
      </c>
      <c r="L42" s="9">
        <v>2885</v>
      </c>
      <c r="M42" s="9">
        <v>4121</v>
      </c>
      <c r="N42" s="9">
        <v>1236</v>
      </c>
      <c r="O42" s="15">
        <v>0.299927202135404</v>
      </c>
      <c r="P42" s="9">
        <v>200</v>
      </c>
      <c r="Q42" s="31">
        <f t="shared" si="22"/>
        <v>2000</v>
      </c>
      <c r="R42" s="32">
        <f t="shared" si="23"/>
        <v>0.0485319097306479</v>
      </c>
      <c r="S42" s="33">
        <f t="shared" si="24"/>
        <v>0.251395292404756</v>
      </c>
      <c r="T42" s="34" t="b">
        <f t="shared" si="25"/>
        <v>0</v>
      </c>
      <c r="U42" s="35">
        <v>0.06</v>
      </c>
      <c r="V42" s="36" t="b">
        <f t="shared" si="26"/>
        <v>0</v>
      </c>
      <c r="W42" s="36" t="str">
        <f t="shared" si="27"/>
        <v/>
      </c>
      <c r="X42" s="37">
        <f>IFERROR(SUMIF([3]商务费用支付申请!$A:$A,$A42,[3]商务费用支付申请!$C:$C),"")</f>
        <v>0</v>
      </c>
      <c r="Y42" s="49">
        <f t="shared" si="28"/>
        <v>0.299927202135404</v>
      </c>
      <c r="Z42" s="53"/>
      <c r="AA42" s="50" t="str">
        <f t="shared" si="29"/>
        <v/>
      </c>
      <c r="AB42" s="43">
        <f t="shared" si="30"/>
        <v>-2000</v>
      </c>
    </row>
    <row r="43" s="1" customFormat="1" ht="14.25" hidden="1" customHeight="1" spans="1:28">
      <c r="A43" s="4">
        <v>20231119</v>
      </c>
      <c r="B43" s="9" t="s">
        <v>144</v>
      </c>
      <c r="C43" s="5"/>
      <c r="D43" s="9" t="s">
        <v>34</v>
      </c>
      <c r="E43" s="9" t="s">
        <v>149</v>
      </c>
      <c r="F43" s="9" t="s">
        <v>150</v>
      </c>
      <c r="G43" s="9"/>
      <c r="H43" s="9" t="s">
        <v>154</v>
      </c>
      <c r="I43" s="9" t="s">
        <v>156</v>
      </c>
      <c r="J43" s="9"/>
      <c r="K43" s="9">
        <v>30</v>
      </c>
      <c r="L43" s="9">
        <v>1815</v>
      </c>
      <c r="M43" s="9">
        <v>2611</v>
      </c>
      <c r="N43" s="9">
        <v>796</v>
      </c>
      <c r="O43" s="15">
        <v>0.304864036767522</v>
      </c>
      <c r="P43" s="9">
        <v>150</v>
      </c>
      <c r="Q43" s="31">
        <f t="shared" si="22"/>
        <v>4500</v>
      </c>
      <c r="R43" s="32">
        <f t="shared" si="23"/>
        <v>0.0574492531597089</v>
      </c>
      <c r="S43" s="33">
        <f t="shared" si="24"/>
        <v>0.247414783607813</v>
      </c>
      <c r="T43" s="34" t="b">
        <f t="shared" si="25"/>
        <v>0</v>
      </c>
      <c r="U43" s="35">
        <v>0.06</v>
      </c>
      <c r="V43" s="36" t="b">
        <f t="shared" si="26"/>
        <v>0</v>
      </c>
      <c r="W43" s="36" t="str">
        <f t="shared" si="27"/>
        <v/>
      </c>
      <c r="X43" s="37">
        <f>IFERROR(SUMIF([3]商务费用支付申请!$A:$A,$A43,[3]商务费用支付申请!$C:$C),"")</f>
        <v>0</v>
      </c>
      <c r="Y43" s="49">
        <f t="shared" si="28"/>
        <v>0.304864036767522</v>
      </c>
      <c r="Z43" s="53"/>
      <c r="AA43" s="50" t="str">
        <f t="shared" si="29"/>
        <v/>
      </c>
      <c r="AB43" s="43">
        <f t="shared" si="30"/>
        <v>-4500</v>
      </c>
    </row>
    <row r="44" s="1" customFormat="1" ht="14.25" hidden="1" customHeight="1" spans="1:28">
      <c r="A44" s="4">
        <v>20231120</v>
      </c>
      <c r="B44" s="9" t="s">
        <v>144</v>
      </c>
      <c r="C44" s="5"/>
      <c r="D44" s="9" t="s">
        <v>34</v>
      </c>
      <c r="E44" s="9" t="s">
        <v>157</v>
      </c>
      <c r="F44" s="9" t="s">
        <v>158</v>
      </c>
      <c r="G44" s="9"/>
      <c r="H44" s="9" t="s">
        <v>159</v>
      </c>
      <c r="I44" s="9" t="s">
        <v>114</v>
      </c>
      <c r="J44" s="9" t="s">
        <v>115</v>
      </c>
      <c r="K44" s="9">
        <v>20</v>
      </c>
      <c r="L44" s="9">
        <v>840</v>
      </c>
      <c r="M44" s="9">
        <v>1693</v>
      </c>
      <c r="N44" s="9">
        <v>850</v>
      </c>
      <c r="O44" s="15">
        <v>0.502067336089781</v>
      </c>
      <c r="P44" s="9">
        <v>100</v>
      </c>
      <c r="Q44" s="31">
        <f t="shared" si="22"/>
        <v>2000</v>
      </c>
      <c r="R44" s="32">
        <f t="shared" si="23"/>
        <v>0.0590667454223272</v>
      </c>
      <c r="S44" s="33">
        <f t="shared" si="24"/>
        <v>0.443000590667454</v>
      </c>
      <c r="T44" s="34" t="b">
        <f t="shared" si="25"/>
        <v>0</v>
      </c>
      <c r="U44" s="35">
        <v>0.06</v>
      </c>
      <c r="V44" s="36" t="b">
        <f t="shared" si="26"/>
        <v>0</v>
      </c>
      <c r="W44" s="36" t="str">
        <f t="shared" si="27"/>
        <v/>
      </c>
      <c r="X44" s="37">
        <f>IFERROR(SUMIF([3]商务费用支付申请!$A:$A,$A44,[3]商务费用支付申请!$C:$C),"")</f>
        <v>0</v>
      </c>
      <c r="Y44" s="49">
        <f t="shared" si="28"/>
        <v>0.502067336089781</v>
      </c>
      <c r="Z44" s="53"/>
      <c r="AA44" s="50" t="str">
        <f t="shared" si="29"/>
        <v/>
      </c>
      <c r="AB44" s="43">
        <f t="shared" si="30"/>
        <v>-2000</v>
      </c>
    </row>
    <row r="45" s="1" customFormat="1" ht="14.25" customHeight="1" spans="1:28">
      <c r="A45" s="4">
        <v>20231121</v>
      </c>
      <c r="B45" s="9" t="s">
        <v>144</v>
      </c>
      <c r="C45" s="5" t="s">
        <v>33</v>
      </c>
      <c r="D45" s="9" t="s">
        <v>34</v>
      </c>
      <c r="E45" s="10" t="s">
        <v>160</v>
      </c>
      <c r="F45" s="9" t="s">
        <v>65</v>
      </c>
      <c r="G45" s="9"/>
      <c r="H45" s="9" t="s">
        <v>101</v>
      </c>
      <c r="I45" s="9" t="s">
        <v>111</v>
      </c>
      <c r="J45" s="9" t="s">
        <v>111</v>
      </c>
      <c r="K45" s="9">
        <v>20</v>
      </c>
      <c r="L45" s="9">
        <v>557.52</v>
      </c>
      <c r="M45" s="9">
        <v>2059</v>
      </c>
      <c r="N45" s="9">
        <f t="shared" ref="N45:N50" si="31">M45-L45</f>
        <v>1501.48</v>
      </c>
      <c r="O45" s="15">
        <f>IF(AND($N45&lt;&gt;0,$M45&lt;&gt;0),$N45/$M45,"")</f>
        <v>0.729227780475959</v>
      </c>
      <c r="P45" s="9">
        <v>100</v>
      </c>
      <c r="Q45" s="31">
        <f t="shared" si="22"/>
        <v>2000</v>
      </c>
      <c r="R45" s="32">
        <f t="shared" si="23"/>
        <v>0.0485672656629432</v>
      </c>
      <c r="S45" s="33">
        <f t="shared" si="24"/>
        <v>0.680660514813016</v>
      </c>
      <c r="T45" s="34">
        <f t="shared" si="25"/>
        <v>0.21</v>
      </c>
      <c r="U45" s="35">
        <v>0.06</v>
      </c>
      <c r="V45" s="36">
        <f t="shared" si="26"/>
        <v>0.198567265662943</v>
      </c>
      <c r="W45" s="36" t="str">
        <f t="shared" si="27"/>
        <v/>
      </c>
      <c r="X45" s="37">
        <f>IFERROR(SUMIF([3]商务费用支付申请!$A:$A,$A45,[3]商务费用支付申请!$C:$C),"")</f>
        <v>0</v>
      </c>
      <c r="Y45" s="49">
        <f t="shared" si="28"/>
        <v>0.729227780475959</v>
      </c>
      <c r="Z45" s="53" t="s">
        <v>161</v>
      </c>
      <c r="AA45" s="50" t="str">
        <f t="shared" si="29"/>
        <v/>
      </c>
      <c r="AB45" s="43">
        <f t="shared" si="30"/>
        <v>-2000</v>
      </c>
    </row>
    <row r="46" s="1" customFormat="1" ht="14.25" hidden="1" customHeight="1" spans="1:28">
      <c r="A46" s="4">
        <v>20231201</v>
      </c>
      <c r="B46" s="9" t="s">
        <v>162</v>
      </c>
      <c r="C46" s="5"/>
      <c r="D46" s="9" t="s">
        <v>34</v>
      </c>
      <c r="E46" s="10" t="s">
        <v>163</v>
      </c>
      <c r="F46" s="9" t="s">
        <v>164</v>
      </c>
      <c r="G46" s="9"/>
      <c r="H46" s="9" t="s">
        <v>145</v>
      </c>
      <c r="I46" s="9" t="s">
        <v>165</v>
      </c>
      <c r="J46" s="9" t="s">
        <v>166</v>
      </c>
      <c r="K46" s="9">
        <v>100</v>
      </c>
      <c r="L46" s="9">
        <v>913.5</v>
      </c>
      <c r="M46" s="9">
        <v>2309</v>
      </c>
      <c r="N46" s="9">
        <v>1395.5</v>
      </c>
      <c r="O46" s="15">
        <f t="shared" ref="O46:O58" si="32">IF(AND($M46&lt;&gt;0,$L46&lt;&gt;0),$M46/$L46,"")</f>
        <v>2.52764094143404</v>
      </c>
      <c r="P46" s="9">
        <v>350</v>
      </c>
      <c r="Q46" s="31">
        <f t="shared" si="22"/>
        <v>35000</v>
      </c>
      <c r="R46" s="32">
        <f t="shared" si="23"/>
        <v>0.151580770896492</v>
      </c>
      <c r="S46" s="33">
        <f t="shared" si="24"/>
        <v>0.452793417063664</v>
      </c>
      <c r="T46" s="34" t="b">
        <f t="shared" si="25"/>
        <v>0</v>
      </c>
      <c r="U46" s="35">
        <v>0.06</v>
      </c>
      <c r="V46" s="36">
        <f t="shared" si="26"/>
        <v>0.091580770896492</v>
      </c>
      <c r="W46" s="36" t="str">
        <f t="shared" si="27"/>
        <v/>
      </c>
      <c r="X46" s="37">
        <f>IFERROR(SUMIF([3]商务费用支付申请!$A:$A,$A46,[3]商务费用支付申请!$C:$C),"")</f>
        <v>0</v>
      </c>
      <c r="Y46" s="49">
        <f t="shared" si="28"/>
        <v>0.604374187960156</v>
      </c>
      <c r="Z46" s="53" t="str">
        <f>IFERROR(VLOOKUP(A46,[1]商务费用支付申请!A:B,2,0),"")</f>
        <v/>
      </c>
      <c r="AA46" s="50" t="str">
        <f t="shared" si="29"/>
        <v/>
      </c>
      <c r="AB46" s="43">
        <f t="shared" si="30"/>
        <v>-35000</v>
      </c>
    </row>
    <row r="47" s="1" customFormat="1" ht="14.25" hidden="1" customHeight="1" spans="1:28">
      <c r="A47" s="4">
        <v>20231202</v>
      </c>
      <c r="B47" s="9" t="s">
        <v>162</v>
      </c>
      <c r="C47" s="5" t="s">
        <v>33</v>
      </c>
      <c r="D47" s="9" t="s">
        <v>34</v>
      </c>
      <c r="E47" s="10" t="s">
        <v>55</v>
      </c>
      <c r="F47" s="9" t="s">
        <v>36</v>
      </c>
      <c r="G47" s="9"/>
      <c r="H47" s="9" t="s">
        <v>145</v>
      </c>
      <c r="I47" s="9" t="s">
        <v>83</v>
      </c>
      <c r="J47" s="9" t="s">
        <v>127</v>
      </c>
      <c r="K47" s="9">
        <v>20</v>
      </c>
      <c r="L47" s="9">
        <v>1934</v>
      </c>
      <c r="M47" s="9">
        <v>3265</v>
      </c>
      <c r="N47" s="9">
        <f t="shared" si="31"/>
        <v>1331</v>
      </c>
      <c r="O47" s="15">
        <f t="shared" si="32"/>
        <v>1.68821096173733</v>
      </c>
      <c r="P47" s="9">
        <v>100</v>
      </c>
      <c r="Q47" s="31">
        <f t="shared" si="22"/>
        <v>2000</v>
      </c>
      <c r="R47" s="32">
        <f t="shared" si="23"/>
        <v>0.0306278713629403</v>
      </c>
      <c r="S47" s="33">
        <f t="shared" si="24"/>
        <v>0.377029096477795</v>
      </c>
      <c r="T47" s="34">
        <f t="shared" si="25"/>
        <v>0.21</v>
      </c>
      <c r="U47" s="35">
        <v>0.06</v>
      </c>
      <c r="V47" s="36">
        <f t="shared" si="26"/>
        <v>0.18062787136294</v>
      </c>
      <c r="W47" s="36" t="str">
        <f t="shared" si="27"/>
        <v/>
      </c>
      <c r="X47" s="37">
        <f>IFERROR(SUMIF([3]商务费用支付申请!$A:$A,$A47,[3]商务费用支付申请!$C:$C),"")</f>
        <v>0</v>
      </c>
      <c r="Y47" s="49">
        <f t="shared" si="28"/>
        <v>0.407656967840735</v>
      </c>
      <c r="Z47" s="56" t="s">
        <v>167</v>
      </c>
      <c r="AA47" s="50" t="str">
        <f t="shared" si="29"/>
        <v/>
      </c>
      <c r="AB47" s="43">
        <f t="shared" si="30"/>
        <v>-2000</v>
      </c>
    </row>
    <row r="48" s="1" customFormat="1" ht="14.25" hidden="1" customHeight="1" spans="1:28">
      <c r="A48" s="4">
        <v>20231203</v>
      </c>
      <c r="B48" s="9" t="s">
        <v>162</v>
      </c>
      <c r="C48" s="5" t="s">
        <v>33</v>
      </c>
      <c r="D48" s="9" t="s">
        <v>34</v>
      </c>
      <c r="E48" s="10" t="s">
        <v>55</v>
      </c>
      <c r="F48" s="9" t="s">
        <v>36</v>
      </c>
      <c r="G48" s="9"/>
      <c r="H48" s="9" t="s">
        <v>145</v>
      </c>
      <c r="I48" s="9" t="s">
        <v>81</v>
      </c>
      <c r="J48" s="9" t="s">
        <v>75</v>
      </c>
      <c r="K48" s="9">
        <v>3</v>
      </c>
      <c r="L48" s="9">
        <v>3584</v>
      </c>
      <c r="M48" s="9">
        <v>5523</v>
      </c>
      <c r="N48" s="9">
        <v>1939</v>
      </c>
      <c r="O48" s="15">
        <f t="shared" si="32"/>
        <v>1.541015625</v>
      </c>
      <c r="P48" s="9">
        <v>100</v>
      </c>
      <c r="Q48" s="31">
        <f t="shared" si="22"/>
        <v>300</v>
      </c>
      <c r="R48" s="32">
        <f t="shared" si="23"/>
        <v>0.0181061017562919</v>
      </c>
      <c r="S48" s="33">
        <f t="shared" si="24"/>
        <v>0.332971211298208</v>
      </c>
      <c r="T48" s="34">
        <f t="shared" si="25"/>
        <v>0.21</v>
      </c>
      <c r="U48" s="35">
        <v>0.06</v>
      </c>
      <c r="V48" s="36">
        <f t="shared" si="26"/>
        <v>0.168106101756292</v>
      </c>
      <c r="W48" s="36" t="str">
        <f t="shared" si="27"/>
        <v/>
      </c>
      <c r="X48" s="37">
        <f>IFERROR(SUMIF([3]商务费用支付申请!$A:$A,$A48,[3]商务费用支付申请!$C:$C),"")</f>
        <v>0</v>
      </c>
      <c r="Y48" s="49">
        <f t="shared" si="28"/>
        <v>0.351077313054499</v>
      </c>
      <c r="Z48" s="58" t="s">
        <v>168</v>
      </c>
      <c r="AA48" s="50" t="str">
        <f t="shared" si="29"/>
        <v/>
      </c>
      <c r="AB48" s="43">
        <f t="shared" si="30"/>
        <v>-300</v>
      </c>
    </row>
    <row r="49" s="1" customFormat="1" ht="14.25" hidden="1" customHeight="1" spans="1:28">
      <c r="A49" s="4">
        <v>20231204</v>
      </c>
      <c r="B49" s="9" t="s">
        <v>162</v>
      </c>
      <c r="C49" s="5" t="s">
        <v>33</v>
      </c>
      <c r="D49" s="9" t="s">
        <v>34</v>
      </c>
      <c r="E49" s="10" t="s">
        <v>55</v>
      </c>
      <c r="F49" s="9" t="s">
        <v>36</v>
      </c>
      <c r="G49" s="9"/>
      <c r="H49" s="9" t="s">
        <v>145</v>
      </c>
      <c r="I49" s="9" t="s">
        <v>86</v>
      </c>
      <c r="J49" s="9" t="s">
        <v>87</v>
      </c>
      <c r="K49" s="9">
        <v>5</v>
      </c>
      <c r="L49" s="9">
        <v>3456</v>
      </c>
      <c r="M49" s="9">
        <v>2697</v>
      </c>
      <c r="N49" s="9">
        <v>759</v>
      </c>
      <c r="O49" s="15">
        <f t="shared" si="32"/>
        <v>0.780381944444444</v>
      </c>
      <c r="P49" s="9">
        <v>100</v>
      </c>
      <c r="Q49" s="31">
        <f t="shared" si="22"/>
        <v>500</v>
      </c>
      <c r="R49" s="32">
        <f t="shared" si="23"/>
        <v>0.0370782350760104</v>
      </c>
      <c r="S49" s="33">
        <f t="shared" si="24"/>
        <v>0.244345569150908</v>
      </c>
      <c r="T49" s="34">
        <f t="shared" si="25"/>
        <v>0.21</v>
      </c>
      <c r="U49" s="35">
        <v>0.06</v>
      </c>
      <c r="V49" s="36">
        <f t="shared" si="26"/>
        <v>0.18707823507601</v>
      </c>
      <c r="W49" s="36" t="str">
        <f t="shared" si="27"/>
        <v/>
      </c>
      <c r="X49" s="37">
        <f>IFERROR(SUMIF([3]商务费用支付申请!$A:$A,$A49,[3]商务费用支付申请!$C:$C),"")</f>
        <v>0</v>
      </c>
      <c r="Y49" s="49">
        <f t="shared" si="28"/>
        <v>0.281423804226919</v>
      </c>
      <c r="Z49" s="56" t="s">
        <v>169</v>
      </c>
      <c r="AA49" s="50" t="str">
        <f t="shared" si="29"/>
        <v/>
      </c>
      <c r="AB49" s="43">
        <f t="shared" si="30"/>
        <v>-500</v>
      </c>
    </row>
    <row r="50" s="1" customFormat="1" ht="14.25" hidden="1" customHeight="1" spans="1:28">
      <c r="A50" s="4">
        <v>20231205</v>
      </c>
      <c r="B50" s="9" t="s">
        <v>162</v>
      </c>
      <c r="C50" s="5" t="s">
        <v>33</v>
      </c>
      <c r="D50" s="9" t="s">
        <v>34</v>
      </c>
      <c r="E50" s="10" t="s">
        <v>55</v>
      </c>
      <c r="F50" s="9" t="s">
        <v>36</v>
      </c>
      <c r="G50" s="9"/>
      <c r="H50" s="9" t="s">
        <v>145</v>
      </c>
      <c r="I50" s="9" t="s">
        <v>61</v>
      </c>
      <c r="J50" s="9" t="s">
        <v>62</v>
      </c>
      <c r="K50" s="9">
        <v>7</v>
      </c>
      <c r="L50" s="9">
        <v>3480</v>
      </c>
      <c r="M50" s="9">
        <v>4500</v>
      </c>
      <c r="N50" s="9">
        <f t="shared" si="31"/>
        <v>1020</v>
      </c>
      <c r="O50" s="15">
        <f t="shared" si="32"/>
        <v>1.29310344827586</v>
      </c>
      <c r="P50" s="9">
        <v>100</v>
      </c>
      <c r="Q50" s="31">
        <f t="shared" si="22"/>
        <v>700</v>
      </c>
      <c r="R50" s="32">
        <f t="shared" si="23"/>
        <v>0.0222222222222222</v>
      </c>
      <c r="S50" s="33">
        <f t="shared" si="24"/>
        <v>0.204444444444444</v>
      </c>
      <c r="T50" s="34">
        <f t="shared" si="25"/>
        <v>0.21</v>
      </c>
      <c r="U50" s="35">
        <v>0.06</v>
      </c>
      <c r="V50" s="36">
        <f t="shared" si="26"/>
        <v>0.172222222222222</v>
      </c>
      <c r="W50" s="36" t="str">
        <f t="shared" si="27"/>
        <v/>
      </c>
      <c r="X50" s="37">
        <f>IFERROR(SUMIF([3]商务费用支付申请!$A:$A,$A50,[3]商务费用支付申请!$C:$C),"")</f>
        <v>0</v>
      </c>
      <c r="Y50" s="49">
        <f t="shared" si="28"/>
        <v>0.226666666666667</v>
      </c>
      <c r="Z50" s="57" t="s">
        <v>170</v>
      </c>
      <c r="AA50" s="50" t="str">
        <f t="shared" si="29"/>
        <v/>
      </c>
      <c r="AB50" s="43">
        <f t="shared" si="30"/>
        <v>-700</v>
      </c>
    </row>
    <row r="51" s="1" customFormat="1" ht="14.25" hidden="1" customHeight="1" spans="1:28">
      <c r="A51" s="4">
        <v>20231206</v>
      </c>
      <c r="B51" s="9" t="s">
        <v>171</v>
      </c>
      <c r="C51" s="5" t="s">
        <v>33</v>
      </c>
      <c r="D51" s="9" t="s">
        <v>34</v>
      </c>
      <c r="E51" s="10" t="s">
        <v>55</v>
      </c>
      <c r="F51" s="9" t="s">
        <v>36</v>
      </c>
      <c r="G51" s="9"/>
      <c r="H51" s="9" t="s">
        <v>120</v>
      </c>
      <c r="I51" s="9" t="s">
        <v>122</v>
      </c>
      <c r="J51" s="9" t="s">
        <v>123</v>
      </c>
      <c r="K51" s="9">
        <v>3</v>
      </c>
      <c r="L51" s="9">
        <v>3540</v>
      </c>
      <c r="M51" s="9">
        <v>6212</v>
      </c>
      <c r="N51" s="9">
        <v>2672</v>
      </c>
      <c r="O51" s="15">
        <f t="shared" si="32"/>
        <v>1.75480225988701</v>
      </c>
      <c r="P51" s="9">
        <v>300</v>
      </c>
      <c r="Q51" s="31">
        <f t="shared" si="22"/>
        <v>900</v>
      </c>
      <c r="R51" s="32">
        <f t="shared" si="23"/>
        <v>0.0482936252414681</v>
      </c>
      <c r="S51" s="33">
        <f t="shared" si="24"/>
        <v>0.381841596909208</v>
      </c>
      <c r="T51" s="34">
        <f t="shared" si="25"/>
        <v>0.21</v>
      </c>
      <c r="U51" s="35">
        <v>0.06</v>
      </c>
      <c r="V51" s="36">
        <f t="shared" si="26"/>
        <v>0.198293625241468</v>
      </c>
      <c r="W51" s="36" t="str">
        <f t="shared" si="27"/>
        <v/>
      </c>
      <c r="X51" s="37">
        <f>IFERROR(SUMIF([3]商务费用支付申请!$A:$A,$A51,[3]商务费用支付申请!$C:$C),"")</f>
        <v>0</v>
      </c>
      <c r="Y51" s="49">
        <f t="shared" si="28"/>
        <v>0.430135222150676</v>
      </c>
      <c r="Z51" s="56" t="s">
        <v>172</v>
      </c>
      <c r="AA51" s="50" t="str">
        <f t="shared" si="29"/>
        <v/>
      </c>
      <c r="AB51" s="43">
        <f t="shared" si="30"/>
        <v>-900</v>
      </c>
    </row>
    <row r="52" s="1" customFormat="1" ht="14.25" hidden="1" customHeight="1" spans="1:28">
      <c r="A52" s="4">
        <v>20231207</v>
      </c>
      <c r="B52" s="9" t="s">
        <v>171</v>
      </c>
      <c r="C52" s="5" t="s">
        <v>33</v>
      </c>
      <c r="D52" s="9" t="s">
        <v>34</v>
      </c>
      <c r="E52" s="10" t="s">
        <v>163</v>
      </c>
      <c r="F52" s="9" t="s">
        <v>164</v>
      </c>
      <c r="G52" s="9"/>
      <c r="H52" s="9" t="s">
        <v>120</v>
      </c>
      <c r="I52" s="9" t="s">
        <v>165</v>
      </c>
      <c r="J52" s="9" t="s">
        <v>166</v>
      </c>
      <c r="K52" s="9">
        <v>8</v>
      </c>
      <c r="L52" s="9">
        <v>913.5</v>
      </c>
      <c r="M52" s="9">
        <v>2309</v>
      </c>
      <c r="N52" s="9">
        <v>1395.5</v>
      </c>
      <c r="O52" s="15">
        <f t="shared" si="32"/>
        <v>2.52764094143404</v>
      </c>
      <c r="P52" s="9">
        <v>350</v>
      </c>
      <c r="Q52" s="31">
        <f t="shared" si="22"/>
        <v>2800</v>
      </c>
      <c r="R52" s="32">
        <f t="shared" si="23"/>
        <v>0.151580770896492</v>
      </c>
      <c r="S52" s="33">
        <f t="shared" si="24"/>
        <v>0.452793417063664</v>
      </c>
      <c r="T52" s="34">
        <f t="shared" si="25"/>
        <v>0.21</v>
      </c>
      <c r="U52" s="35">
        <v>0.06</v>
      </c>
      <c r="V52" s="36">
        <f t="shared" si="26"/>
        <v>0.301580770896492</v>
      </c>
      <c r="W52" s="36" t="str">
        <f t="shared" si="27"/>
        <v/>
      </c>
      <c r="X52" s="37">
        <f>IFERROR(SUMIF([3]商务费用支付申请!$A:$A,$A52,[3]商务费用支付申请!$C:$C),"")</f>
        <v>0</v>
      </c>
      <c r="Y52" s="49">
        <f t="shared" si="28"/>
        <v>0.604374187960156</v>
      </c>
      <c r="Z52" s="52">
        <v>5016103850</v>
      </c>
      <c r="AA52" s="50" t="str">
        <f t="shared" si="29"/>
        <v/>
      </c>
      <c r="AB52" s="43">
        <f t="shared" si="30"/>
        <v>-2800</v>
      </c>
    </row>
    <row r="53" s="1" customFormat="1" ht="14.25" hidden="1" customHeight="1" spans="1:28">
      <c r="A53" s="4">
        <v>20231208</v>
      </c>
      <c r="B53" s="9" t="s">
        <v>173</v>
      </c>
      <c r="C53" s="5" t="s">
        <v>33</v>
      </c>
      <c r="D53" s="9" t="s">
        <v>34</v>
      </c>
      <c r="E53" s="10" t="s">
        <v>55</v>
      </c>
      <c r="F53" s="9" t="s">
        <v>36</v>
      </c>
      <c r="G53" s="9"/>
      <c r="H53" s="9" t="s">
        <v>77</v>
      </c>
      <c r="I53" s="9" t="s">
        <v>78</v>
      </c>
      <c r="J53" s="9" t="s">
        <v>174</v>
      </c>
      <c r="K53" s="9">
        <v>5</v>
      </c>
      <c r="L53" s="9">
        <v>2421</v>
      </c>
      <c r="M53" s="9">
        <v>1505</v>
      </c>
      <c r="N53" s="9">
        <v>916</v>
      </c>
      <c r="O53" s="15">
        <f t="shared" si="32"/>
        <v>0.621643948781495</v>
      </c>
      <c r="P53" s="9">
        <v>100</v>
      </c>
      <c r="Q53" s="31">
        <f t="shared" si="22"/>
        <v>500</v>
      </c>
      <c r="R53" s="32">
        <f t="shared" si="23"/>
        <v>0.0664451827242525</v>
      </c>
      <c r="S53" s="33">
        <f t="shared" si="24"/>
        <v>0.5421926910299</v>
      </c>
      <c r="T53" s="34">
        <f t="shared" si="25"/>
        <v>0.21</v>
      </c>
      <c r="U53" s="35">
        <v>0.06</v>
      </c>
      <c r="V53" s="36">
        <f t="shared" si="26"/>
        <v>0.216445182724253</v>
      </c>
      <c r="W53" s="36" t="str">
        <f t="shared" si="27"/>
        <v/>
      </c>
      <c r="X53" s="37">
        <f>IFERROR(SUMIF([3]商务费用支付申请!$A:$A,$A53,[3]商务费用支付申请!$C:$C),"")</f>
        <v>0</v>
      </c>
      <c r="Y53" s="49">
        <f t="shared" si="28"/>
        <v>0.608637873754153</v>
      </c>
      <c r="Z53" s="57" t="s">
        <v>175</v>
      </c>
      <c r="AA53" s="50" t="str">
        <f t="shared" si="29"/>
        <v/>
      </c>
      <c r="AB53" s="43">
        <f t="shared" si="30"/>
        <v>-500</v>
      </c>
    </row>
    <row r="54" s="1" customFormat="1" ht="14.25" hidden="1" customHeight="1" spans="1:28">
      <c r="A54" s="4"/>
      <c r="B54" s="9"/>
      <c r="C54" s="5"/>
      <c r="D54" s="9" t="s">
        <v>34</v>
      </c>
      <c r="E54" s="10"/>
      <c r="F54" s="9"/>
      <c r="G54" s="9"/>
      <c r="H54" s="9"/>
      <c r="I54" s="9"/>
      <c r="J54" s="16" t="s">
        <v>176</v>
      </c>
      <c r="K54" s="16">
        <v>3</v>
      </c>
      <c r="L54" s="16">
        <v>1601</v>
      </c>
      <c r="M54" s="16">
        <v>2421</v>
      </c>
      <c r="N54" s="16">
        <v>820</v>
      </c>
      <c r="O54" s="15"/>
      <c r="P54" s="9">
        <v>100</v>
      </c>
      <c r="Q54" s="31">
        <f t="shared" si="22"/>
        <v>300</v>
      </c>
      <c r="R54" s="32">
        <f t="shared" si="23"/>
        <v>0.0413052457662123</v>
      </c>
      <c r="S54" s="33">
        <f t="shared" si="24"/>
        <v>0.297397769516729</v>
      </c>
      <c r="T54" s="34" t="b">
        <f t="shared" si="25"/>
        <v>0</v>
      </c>
      <c r="U54" s="35">
        <v>0.06</v>
      </c>
      <c r="V54" s="36" t="b">
        <f t="shared" si="26"/>
        <v>0</v>
      </c>
      <c r="W54" s="36" t="str">
        <f t="shared" si="27"/>
        <v/>
      </c>
      <c r="X54" s="37">
        <f>IFERROR(SUMIF([3]商务费用支付申请!$A:$A,$A54,[3]商务费用支付申请!$C:$C),"")</f>
        <v>0</v>
      </c>
      <c r="Y54" s="49">
        <f t="shared" si="28"/>
        <v>0.338703015282941</v>
      </c>
      <c r="Z54" s="52"/>
      <c r="AA54" s="50" t="str">
        <f t="shared" si="29"/>
        <v/>
      </c>
      <c r="AB54" s="43">
        <f t="shared" si="30"/>
        <v>-300</v>
      </c>
    </row>
    <row r="55" s="1" customFormat="1" ht="14.25" customHeight="1" spans="1:28">
      <c r="A55" s="4">
        <v>20231210</v>
      </c>
      <c r="B55" s="9" t="s">
        <v>173</v>
      </c>
      <c r="C55" s="5" t="s">
        <v>33</v>
      </c>
      <c r="D55" s="9" t="s">
        <v>34</v>
      </c>
      <c r="E55" s="10" t="s">
        <v>55</v>
      </c>
      <c r="F55" s="9" t="s">
        <v>65</v>
      </c>
      <c r="G55" s="9"/>
      <c r="H55" s="9" t="s">
        <v>120</v>
      </c>
      <c r="I55" s="9" t="s">
        <v>66</v>
      </c>
      <c r="J55" s="9" t="s">
        <v>67</v>
      </c>
      <c r="K55" s="9">
        <v>24</v>
      </c>
      <c r="L55" s="9">
        <v>199</v>
      </c>
      <c r="M55" s="9">
        <v>565</v>
      </c>
      <c r="N55" s="9">
        <f>M55-L55</f>
        <v>366</v>
      </c>
      <c r="O55" s="15">
        <f>IF(AND($M55&lt;&gt;0,$L55&lt;&gt;0),$M55/$L55,"")</f>
        <v>2.8391959798995</v>
      </c>
      <c r="P55" s="9">
        <v>100</v>
      </c>
      <c r="Q55" s="31">
        <f t="shared" si="22"/>
        <v>2400</v>
      </c>
      <c r="R55" s="32">
        <f t="shared" si="23"/>
        <v>0.176991150442478</v>
      </c>
      <c r="S55" s="33">
        <f t="shared" si="24"/>
        <v>0.470796460176991</v>
      </c>
      <c r="T55" s="34">
        <f t="shared" si="25"/>
        <v>0.21</v>
      </c>
      <c r="U55" s="35">
        <v>0.06</v>
      </c>
      <c r="V55" s="36">
        <f t="shared" si="26"/>
        <v>0.326991150442478</v>
      </c>
      <c r="W55" s="36" t="str">
        <f t="shared" si="27"/>
        <v/>
      </c>
      <c r="X55" s="37">
        <f>IFERROR(SUMIF([3]商务费用支付申请!$A:$A,$A55,[3]商务费用支付申请!$C:$C),"")</f>
        <v>0</v>
      </c>
      <c r="Y55" s="49">
        <f t="shared" si="28"/>
        <v>0.647787610619469</v>
      </c>
      <c r="Z55" s="52">
        <v>5016354304</v>
      </c>
      <c r="AA55" s="50" t="str">
        <f t="shared" si="29"/>
        <v/>
      </c>
      <c r="AB55" s="43">
        <f t="shared" si="30"/>
        <v>-2400</v>
      </c>
    </row>
    <row r="56" s="1" customFormat="1" ht="14.25" hidden="1" customHeight="1" spans="1:28">
      <c r="A56" s="4">
        <v>20231211</v>
      </c>
      <c r="B56" s="9" t="s">
        <v>173</v>
      </c>
      <c r="C56" s="5" t="s">
        <v>33</v>
      </c>
      <c r="D56" s="9" t="s">
        <v>34</v>
      </c>
      <c r="E56" s="10" t="s">
        <v>177</v>
      </c>
      <c r="F56" s="9" t="s">
        <v>178</v>
      </c>
      <c r="G56" s="9" t="s">
        <v>179</v>
      </c>
      <c r="H56" s="9" t="s">
        <v>145</v>
      </c>
      <c r="I56" s="9" t="s">
        <v>92</v>
      </c>
      <c r="J56" s="9" t="s">
        <v>93</v>
      </c>
      <c r="K56" s="9" t="s">
        <v>180</v>
      </c>
      <c r="L56" s="9">
        <v>913.5</v>
      </c>
      <c r="M56" s="9">
        <v>1664</v>
      </c>
      <c r="N56" s="9">
        <v>751</v>
      </c>
      <c r="O56" s="15">
        <f>IF(AND($M56&lt;&gt;0,$L56&lt;&gt;0),$M56/$L56,"")</f>
        <v>1.8215654077723</v>
      </c>
      <c r="P56" s="9">
        <v>150</v>
      </c>
      <c r="Q56" s="31" t="e">
        <f t="shared" si="22"/>
        <v>#VALUE!</v>
      </c>
      <c r="R56" s="32">
        <f t="shared" si="23"/>
        <v>0.0901442307692308</v>
      </c>
      <c r="S56" s="33" t="e">
        <f t="shared" si="24"/>
        <v>#VALUE!</v>
      </c>
      <c r="T56" s="34">
        <f t="shared" si="25"/>
        <v>0.21</v>
      </c>
      <c r="U56" s="35">
        <v>0.06</v>
      </c>
      <c r="V56" s="36">
        <f t="shared" si="26"/>
        <v>0.240144230769231</v>
      </c>
      <c r="W56" s="36" t="e">
        <f t="shared" si="27"/>
        <v>#VALUE!</v>
      </c>
      <c r="X56" s="37">
        <f>IFERROR(SUMIF([3]商务费用支付申请!$A:$A,$A56,[3]商务费用支付申请!$C:$C),"")</f>
        <v>0</v>
      </c>
      <c r="Y56" s="49" t="e">
        <f t="shared" si="28"/>
        <v>#VALUE!</v>
      </c>
      <c r="Z56" s="52">
        <v>5016354304</v>
      </c>
      <c r="AA56" s="50" t="e">
        <f t="shared" si="29"/>
        <v>#VALUE!</v>
      </c>
      <c r="AB56" s="43" t="e">
        <f t="shared" si="30"/>
        <v>#VALUE!</v>
      </c>
    </row>
    <row r="57" s="1" customFormat="1" ht="14.25" hidden="1" customHeight="1" spans="1:28">
      <c r="A57" s="4">
        <v>20231212</v>
      </c>
      <c r="B57" s="9" t="s">
        <v>173</v>
      </c>
      <c r="C57" s="5"/>
      <c r="D57" s="9" t="s">
        <v>34</v>
      </c>
      <c r="E57" s="10"/>
      <c r="F57" s="9"/>
      <c r="G57" s="9" t="s">
        <v>181</v>
      </c>
      <c r="H57" s="9" t="s">
        <v>145</v>
      </c>
      <c r="I57" s="9" t="s">
        <v>92</v>
      </c>
      <c r="J57" s="9" t="s">
        <v>93</v>
      </c>
      <c r="K57" s="9" t="s">
        <v>180</v>
      </c>
      <c r="L57" s="9">
        <v>913.5</v>
      </c>
      <c r="M57" s="9">
        <v>1664</v>
      </c>
      <c r="N57" s="9">
        <v>751</v>
      </c>
      <c r="O57" s="15">
        <f>IF(AND($M57&lt;&gt;0,$L57&lt;&gt;0),$M57/$L57,"")</f>
        <v>1.8215654077723</v>
      </c>
      <c r="P57" s="9">
        <v>150</v>
      </c>
      <c r="Q57" s="31" t="e">
        <f t="shared" si="22"/>
        <v>#VALUE!</v>
      </c>
      <c r="R57" s="32">
        <f t="shared" si="23"/>
        <v>0.0901442307692308</v>
      </c>
      <c r="S57" s="33" t="e">
        <f t="shared" si="24"/>
        <v>#VALUE!</v>
      </c>
      <c r="T57" s="34" t="b">
        <f t="shared" si="25"/>
        <v>0</v>
      </c>
      <c r="U57" s="35">
        <v>0.06</v>
      </c>
      <c r="V57" s="36">
        <f t="shared" si="26"/>
        <v>0.0301442307692308</v>
      </c>
      <c r="W57" s="36" t="e">
        <f t="shared" si="27"/>
        <v>#VALUE!</v>
      </c>
      <c r="X57" s="37">
        <f>IFERROR(SUMIF([3]商务费用支付申请!$A:$A,$A57,[3]商务费用支付申请!$C:$C),"")</f>
        <v>0</v>
      </c>
      <c r="Y57" s="49" t="e">
        <f t="shared" si="28"/>
        <v>#VALUE!</v>
      </c>
      <c r="Z57" s="53" t="str">
        <f>IFERROR(VLOOKUP(A57,[1]商务费用支付申请!A:B,2,0),"")</f>
        <v/>
      </c>
      <c r="AA57" s="50" t="e">
        <f t="shared" si="29"/>
        <v>#VALUE!</v>
      </c>
      <c r="AB57" s="43" t="e">
        <f t="shared" si="30"/>
        <v>#VALUE!</v>
      </c>
    </row>
    <row r="58" s="1" customFormat="1" ht="14.25" hidden="1" customHeight="1" spans="1:28">
      <c r="A58" s="4">
        <v>20231213</v>
      </c>
      <c r="B58" s="9" t="s">
        <v>173</v>
      </c>
      <c r="C58" s="5" t="s">
        <v>33</v>
      </c>
      <c r="D58" s="9" t="s">
        <v>34</v>
      </c>
      <c r="E58" s="10" t="s">
        <v>136</v>
      </c>
      <c r="F58" s="9" t="s">
        <v>137</v>
      </c>
      <c r="G58" s="9"/>
      <c r="H58" s="9" t="s">
        <v>145</v>
      </c>
      <c r="I58" s="9" t="s">
        <v>92</v>
      </c>
      <c r="J58" s="9" t="s">
        <v>93</v>
      </c>
      <c r="K58" s="9">
        <v>15</v>
      </c>
      <c r="L58" s="9">
        <v>913.5</v>
      </c>
      <c r="M58" s="9">
        <v>1664</v>
      </c>
      <c r="N58" s="9">
        <v>751</v>
      </c>
      <c r="O58" s="15">
        <f>IF(AND($M58&lt;&gt;0,$L58&lt;&gt;0),$M58/$L58,"")</f>
        <v>1.8215654077723</v>
      </c>
      <c r="P58" s="9">
        <v>100</v>
      </c>
      <c r="Q58" s="31">
        <f t="shared" si="22"/>
        <v>1500</v>
      </c>
      <c r="R58" s="32">
        <f t="shared" si="23"/>
        <v>0.0600961538461538</v>
      </c>
      <c r="S58" s="33">
        <f t="shared" si="24"/>
        <v>0.391225961538462</v>
      </c>
      <c r="T58" s="34">
        <f t="shared" si="25"/>
        <v>0.21</v>
      </c>
      <c r="U58" s="35">
        <v>0.06</v>
      </c>
      <c r="V58" s="36">
        <f t="shared" si="26"/>
        <v>0.210096153846154</v>
      </c>
      <c r="W58" s="36" t="str">
        <f t="shared" si="27"/>
        <v/>
      </c>
      <c r="X58" s="37">
        <f>IFERROR(SUMIF([3]商务费用支付申请!$A:$A,$A58,[3]商务费用支付申请!$C:$C),"")</f>
        <v>0</v>
      </c>
      <c r="Y58" s="49">
        <f t="shared" si="28"/>
        <v>0.451322115384615</v>
      </c>
      <c r="Z58" s="53" t="s">
        <v>182</v>
      </c>
      <c r="AA58" s="50" t="str">
        <f t="shared" si="29"/>
        <v/>
      </c>
      <c r="AB58" s="43">
        <f t="shared" si="30"/>
        <v>-1500</v>
      </c>
    </row>
    <row r="59" s="1" customFormat="1" ht="14.25" hidden="1" customHeight="1" spans="1:28">
      <c r="A59" s="4">
        <v>20231214</v>
      </c>
      <c r="B59" s="9" t="s">
        <v>183</v>
      </c>
      <c r="C59" s="5" t="s">
        <v>33</v>
      </c>
      <c r="D59" s="9" t="s">
        <v>34</v>
      </c>
      <c r="E59" s="10" t="s">
        <v>136</v>
      </c>
      <c r="F59" s="9" t="s">
        <v>137</v>
      </c>
      <c r="G59" s="9"/>
      <c r="H59" s="9" t="s">
        <v>145</v>
      </c>
      <c r="I59" s="9" t="s">
        <v>184</v>
      </c>
      <c r="J59" s="9" t="s">
        <v>185</v>
      </c>
      <c r="K59" s="9">
        <v>10</v>
      </c>
      <c r="L59" s="9">
        <v>913.5</v>
      </c>
      <c r="M59" s="9">
        <v>1693</v>
      </c>
      <c r="N59" s="9">
        <v>779.5</v>
      </c>
      <c r="O59" s="15">
        <f>IF(AND($M59&lt;&gt;0,$L59&lt;&gt;0),$M59/$L59,"")</f>
        <v>1.85331143951834</v>
      </c>
      <c r="P59" s="9">
        <v>100</v>
      </c>
      <c r="Q59" s="31">
        <f t="shared" si="22"/>
        <v>1000</v>
      </c>
      <c r="R59" s="32">
        <f t="shared" si="23"/>
        <v>0.0590667454223272</v>
      </c>
      <c r="S59" s="33">
        <f t="shared" si="24"/>
        <v>0.401358535144714</v>
      </c>
      <c r="T59" s="34">
        <f t="shared" si="25"/>
        <v>0.21</v>
      </c>
      <c r="U59" s="35">
        <v>0.06</v>
      </c>
      <c r="V59" s="36">
        <f t="shared" si="26"/>
        <v>0.209066745422327</v>
      </c>
      <c r="W59" s="36" t="str">
        <f t="shared" si="27"/>
        <v/>
      </c>
      <c r="X59" s="37">
        <f>IFERROR(SUMIF([3]商务费用支付申请!$A:$A,$A59,[3]商务费用支付申请!$C:$C),"")</f>
        <v>0</v>
      </c>
      <c r="Y59" s="49">
        <f t="shared" si="28"/>
        <v>0.460425280567041</v>
      </c>
      <c r="Z59" s="53" t="s">
        <v>186</v>
      </c>
      <c r="AA59" s="50" t="str">
        <f t="shared" si="29"/>
        <v/>
      </c>
      <c r="AB59" s="43">
        <f t="shared" si="30"/>
        <v>-1000</v>
      </c>
    </row>
  </sheetData>
  <autoFilter ref="A3:AE59">
    <filterColumn colId="5">
      <filters>
        <filter val="陈佳"/>
        <filter val="刘涵政"/>
      </filters>
    </filterColumn>
    <extLst/>
  </autoFilter>
  <mergeCells count="3">
    <mergeCell ref="A1:R2"/>
    <mergeCell ref="S1:W2"/>
    <mergeCell ref="X1:Z2"/>
  </mergeCells>
  <conditionalFormatting sqref="V46">
    <cfRule type="expression" dxfId="0" priority="13">
      <formula>$V46&gt;$S46</formula>
    </cfRule>
  </conditionalFormatting>
  <conditionalFormatting sqref="W46">
    <cfRule type="cellIs" dxfId="1" priority="26" operator="lessThan">
      <formula>0</formula>
    </cfRule>
  </conditionalFormatting>
  <conditionalFormatting sqref="V47">
    <cfRule type="expression" dxfId="0" priority="12">
      <formula>$V47&gt;$S47</formula>
    </cfRule>
  </conditionalFormatting>
  <conditionalFormatting sqref="W47">
    <cfRule type="cellIs" dxfId="1" priority="25" operator="lessThan">
      <formula>0</formula>
    </cfRule>
  </conditionalFormatting>
  <conditionalFormatting sqref="V48">
    <cfRule type="expression" dxfId="0" priority="11">
      <formula>$V48&gt;$S48</formula>
    </cfRule>
  </conditionalFormatting>
  <conditionalFormatting sqref="W48">
    <cfRule type="cellIs" dxfId="1" priority="24" operator="lessThan">
      <formula>0</formula>
    </cfRule>
  </conditionalFormatting>
  <conditionalFormatting sqref="V49">
    <cfRule type="expression" dxfId="0" priority="10">
      <formula>$V49&gt;$S49</formula>
    </cfRule>
  </conditionalFormatting>
  <conditionalFormatting sqref="W49">
    <cfRule type="cellIs" dxfId="1" priority="23" operator="lessThan">
      <formula>0</formula>
    </cfRule>
  </conditionalFormatting>
  <conditionalFormatting sqref="V50">
    <cfRule type="expression" dxfId="0" priority="9">
      <formula>$V50&gt;$S50</formula>
    </cfRule>
  </conditionalFormatting>
  <conditionalFormatting sqref="W50">
    <cfRule type="cellIs" dxfId="1" priority="22" operator="lessThan">
      <formula>0</formula>
    </cfRule>
  </conditionalFormatting>
  <conditionalFormatting sqref="V51">
    <cfRule type="expression" dxfId="0" priority="8">
      <formula>$V51&gt;$S51</formula>
    </cfRule>
  </conditionalFormatting>
  <conditionalFormatting sqref="W51">
    <cfRule type="cellIs" dxfId="1" priority="21" operator="lessThan">
      <formula>0</formula>
    </cfRule>
  </conditionalFormatting>
  <conditionalFormatting sqref="V52">
    <cfRule type="expression" dxfId="0" priority="7">
      <formula>$V52&gt;$S52</formula>
    </cfRule>
  </conditionalFormatting>
  <conditionalFormatting sqref="W52">
    <cfRule type="cellIs" dxfId="1" priority="20" operator="lessThan">
      <formula>0</formula>
    </cfRule>
  </conditionalFormatting>
  <conditionalFormatting sqref="V55">
    <cfRule type="expression" dxfId="0" priority="5">
      <formula>$V55&gt;$S55</formula>
    </cfRule>
  </conditionalFormatting>
  <conditionalFormatting sqref="W55">
    <cfRule type="cellIs" dxfId="1" priority="18" operator="lessThan">
      <formula>0</formula>
    </cfRule>
  </conditionalFormatting>
  <conditionalFormatting sqref="V56">
    <cfRule type="expression" dxfId="0" priority="4">
      <formula>$V56&gt;$S56</formula>
    </cfRule>
  </conditionalFormatting>
  <conditionalFormatting sqref="W56">
    <cfRule type="cellIs" dxfId="1" priority="17" operator="lessThan">
      <formula>0</formula>
    </cfRule>
  </conditionalFormatting>
  <conditionalFormatting sqref="V57">
    <cfRule type="expression" dxfId="0" priority="3">
      <formula>$V57&gt;$S57</formula>
    </cfRule>
  </conditionalFormatting>
  <conditionalFormatting sqref="W57">
    <cfRule type="cellIs" dxfId="1" priority="16" operator="lessThan">
      <formula>0</formula>
    </cfRule>
  </conditionalFormatting>
  <conditionalFormatting sqref="V58">
    <cfRule type="expression" dxfId="0" priority="2">
      <formula>$V58&gt;$S58</formula>
    </cfRule>
  </conditionalFormatting>
  <conditionalFormatting sqref="W58">
    <cfRule type="cellIs" dxfId="1" priority="15" operator="lessThan">
      <formula>0</formula>
    </cfRule>
  </conditionalFormatting>
  <conditionalFormatting sqref="V59">
    <cfRule type="expression" dxfId="0" priority="1">
      <formula>$V59&gt;$S59</formula>
    </cfRule>
  </conditionalFormatting>
  <conditionalFormatting sqref="W59">
    <cfRule type="cellIs" dxfId="1" priority="14" operator="lessThan">
      <formula>0</formula>
    </cfRule>
  </conditionalFormatting>
  <conditionalFormatting sqref="V3:V45">
    <cfRule type="expression" dxfId="0" priority="27">
      <formula>$V3&gt;$S3</formula>
    </cfRule>
  </conditionalFormatting>
  <conditionalFormatting sqref="V53:V54">
    <cfRule type="expression" dxfId="0" priority="6">
      <formula>$V53&gt;$S53</formula>
    </cfRule>
  </conditionalFormatting>
  <conditionalFormatting sqref="W3:W45">
    <cfRule type="cellIs" dxfId="1" priority="28" operator="lessThan">
      <formula>0</formula>
    </cfRule>
  </conditionalFormatting>
  <conditionalFormatting sqref="W53:W54">
    <cfRule type="cellIs" dxfId="1" priority="19" operator="lessThan">
      <formula>0</formula>
    </cfRule>
  </conditionalFormatting>
  <dataValidations count="2">
    <dataValidation type="list" allowBlank="1" showInputMessage="1" showErrorMessage="1" sqref="C9 C4:C6 C7:C8 C10:C35 C36:C59">
      <formula1>"深圳福达通,康为,新浪潮,湖南飞英达,志奋领,腾马"</formula1>
    </dataValidation>
    <dataValidation type="list" allowBlank="1" showInputMessage="1" showErrorMessage="1" sqref="C1:C3">
      <formula1>"深圳福达通,康为,新浪潮,湖南飞英达,志奋领"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商务费用表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Н</cp:lastModifiedBy>
  <dcterms:created xsi:type="dcterms:W3CDTF">2024-01-02T05:42:00Z</dcterms:created>
  <dcterms:modified xsi:type="dcterms:W3CDTF">2024-01-15T02:55:37Z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B7EC65202CF249DAAA90F8DC808414E6_11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2052-12.1.0.16120</vt:lpwstr>
  </property>
</Properties>
</file>