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105"/>
  </bookViews>
  <sheets>
    <sheet name="下半年累计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<sst xmlns="http://schemas.openxmlformats.org/spreadsheetml/2006/main" count="122" uniqueCount="68">
  <si>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</si>
  <si>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</si>
  <si>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</si>
  <si>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</si>
  <si>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</si>
  <si>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</si>
  <si>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</si>
  <si>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</si>
  <si>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</si>
  <si>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</si>
  <si>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</si>
  <si>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</si>
  <si>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</si>
  <si>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</si>
  <si>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</si>
  <si>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</si>
  <si>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</si>
  <si>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</si>
  <si>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</si>
  <si>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2023.12.20</t>
  </si>
  <si>
    <t>王武</t>
  </si>
  <si>
    <t>阜阳线束</t>
  </si>
  <si>
    <t>武廉</t>
  </si>
  <si>
    <t>FYF2</t>
  </si>
  <si>
    <t xml:space="preserve">工控一体机_骧腾PPC-15S/17
</t>
  </si>
  <si>
    <t>一体机</t>
  </si>
  <si>
    <t>西安线束</t>
  </si>
  <si>
    <t>杨旭</t>
  </si>
  <si>
    <t>X150</t>
  </si>
  <si>
    <t xml:space="preserve">工控一体机_骧腾PPC-15S/17
</t>
  </si>
  <si>
    <t>4100162695/4100163334</t>
  </si>
  <si>
    <t xml:space="preserve">扫描枪_hejie/H100W-2D_固定式
</t>
  </si>
  <si>
    <t>扫码枪</t>
  </si>
  <si>
    <t>5910631186/5910638563/5910646549/5910902074/5911015421/5911022907/5911027077/5911176923/5911297551/5911297800</t>
  </si>
  <si>
    <t xml:space="preserve">条码打印机_TT065-50_203DPI
</t>
  </si>
  <si>
    <t>打印机</t>
  </si>
  <si>
    <t xml:space="preserve">5910631186/5910638563/5910646549/5911022907/5911399376/5911529212/5912101050
</t>
  </si>
  <si>
    <t xml:space="preserve">扫描枪_iDATA-T1-012_PDA
</t>
  </si>
  <si>
    <t>PDA</t>
  </si>
  <si>
    <t>5911957592/5912101742/5912141628</t>
  </si>
  <si>
    <t xml:space="preserve">扫描枪_iData9702_PDA
</t>
  </si>
  <si>
    <t>5911127480/5911127406/5911399364</t>
  </si>
  <si>
    <t>西安车灯</t>
  </si>
  <si>
    <t>韩六一</t>
  </si>
  <si>
    <t>X060</t>
  </si>
  <si>
    <t>骧腾 TD6550</t>
  </si>
  <si>
    <t>XB20230615001/XB20230711001/XB20230802001</t>
  </si>
  <si>
    <t>安阳线束</t>
  </si>
  <si>
    <t>张孬/常松伟</t>
  </si>
  <si>
    <t>AYF0</t>
  </si>
  <si>
    <t xml:space="preserve">条码打印机_TT065-600_300DPI
</t>
  </si>
  <si>
    <t>5910872823/5911399386/5910553096/5910863373</t>
  </si>
  <si>
    <t>扫描枪_XT200_手持无线</t>
  </si>
  <si>
    <t>5911376219/5911399367</t>
  </si>
  <si>
    <t>张孬</t>
  </si>
  <si>
    <t>工控一体机_工控一体机_骧腾PPC-15S-I7</t>
  </si>
  <si>
    <t>4100168336/4100179141</t>
  </si>
  <si>
    <t>商洛线束</t>
  </si>
  <si>
    <t>郭威</t>
  </si>
  <si>
    <t>XS31</t>
  </si>
  <si>
    <t>工控一体机</t>
  </si>
  <si>
    <t>4100175412/4100168827</t>
  </si>
  <si>
    <t>2023.12.27</t>
  </si>
  <si>
    <t>宝鸡线束</t>
  </si>
  <si>
    <t>吕港</t>
  </si>
  <si>
    <t>X2F2</t>
  </si>
  <si>
    <t>4100181544/4100181081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</si>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</sst>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0" fontId="0" fillId="0" borderId="1" xfId="0" applyNumberFormat="1" applyFont="1" applyFill="1" applyBorder="1" applyAlignment="1" applyProtection="1">
      <alignment vertical="center"/>
    </xf>
    <xf numFmtId="10" fontId="0" fillId="0" borderId="1" xfId="3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horizontal="center" vertical="center"/>
    </xf>
    <xf numFmtId="10" fontId="0" fillId="0" borderId="2" xfId="0" applyNumberFormat="1" applyFont="1" applyFill="1" applyBorder="1" applyAlignment="1" applyProtection="1">
      <alignment vertical="center"/>
    </xf>
    <xf numFmtId="10" fontId="0" fillId="0" borderId="2" xfId="3" applyNumberFormat="1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10" fontId="1" fillId="0" borderId="1" xfId="3" applyNumberFormat="1" applyFont="1" applyFill="1" applyBorder="1" applyAlignment="1">
      <alignment vertical="center" shrinkToFit="1"/>
    </xf>
    <xf numFmtId="0" fontId="1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0" fontId="1" fillId="0" borderId="2" xfId="3" applyNumberFormat="1" applyFont="1" applyFill="1" applyBorder="1" applyAlignment="1">
      <alignment vertical="center" shrinkToFit="1"/>
    </xf>
    <xf numFmtId="0" fontId="1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9;&#27494;&#21830;&#21153;&#36153;&#29992;&#25253;&#227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/>
      <sheetData sheetId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topLeftCell="B1" workbookViewId="0">
      <selection activeCell="R19" sqref="R19"/>
    </sheetView>
  </sheetViews>
  <sheetFormatPr defaultColWidth="9.02654867256637" defaultRowHeight="13.5"/>
  <cols>
    <col min="1" max="1" width="12.4247787610619" style="4" customWidth="1"/>
    <col min="2" max="3" width="9.02654867256637" style="4"/>
    <col min="4" max="4" width="12.6194690265487" style="4" customWidth="1"/>
    <col min="5" max="6" width="9.02654867256637" style="4"/>
    <col min="7" max="7" width="11.8938053097345" style="4" customWidth="1"/>
    <col min="8" max="10" width="9.02654867256637" style="4"/>
    <col min="11" max="12" width="9.02654867256637" style="3"/>
    <col min="13" max="13" width="9.02654867256637" style="4"/>
    <col min="14" max="15" width="9.02654867256637" style="3"/>
    <col min="16" max="17" width="9.02654867256637" style="5"/>
    <col min="18" max="18" width="12.3451327433628" style="5"/>
    <col min="19" max="19" width="9.02654867256637" style="3"/>
    <col min="20" max="16384" width="9.02654867256637" style="4"/>
  </cols>
  <sheetData>
    <row r="1" s="1" customFormat="1" ht="30" customHeight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14" t="s">
        <v>12</v>
      </c>
      <c r="N1" s="6" t="s">
        <v>13</v>
      </c>
      <c r="O1" s="15" t="s">
        <v>14</v>
      </c>
      <c r="P1" s="16" t="s">
        <v>15</v>
      </c>
      <c r="Q1" s="25" t="s">
        <v>16</v>
      </c>
      <c r="R1" s="26" t="s">
        <v>17</v>
      </c>
      <c r="S1" s="27" t="s">
        <v>18</v>
      </c>
    </row>
    <row r="2" s="2" customFormat="1" ht="15" customHeight="1" spans="1:19">
      <c r="A2" s="8" t="s">
        <v>19</v>
      </c>
      <c r="B2" s="8" t="s">
        <v>20</v>
      </c>
      <c r="C2" s="8" t="s">
        <v>21</v>
      </c>
      <c r="D2" s="8" t="s">
        <v>22</v>
      </c>
      <c r="E2" s="8" t="s">
        <v>23</v>
      </c>
      <c r="F2" s="9"/>
      <c r="G2" s="10" t="s">
        <v>24</v>
      </c>
      <c r="H2" s="8" t="s">
        <v>25</v>
      </c>
      <c r="I2" s="8">
        <v>100</v>
      </c>
      <c r="J2" s="9">
        <v>2565.87</v>
      </c>
      <c r="K2" s="8">
        <v>3585</v>
      </c>
      <c r="L2" s="8">
        <f t="shared" ref="L2:L12" si="0">K2-J2</f>
        <v>1019.13</v>
      </c>
      <c r="M2" s="17">
        <f t="shared" ref="M2:M14" si="1">IF(AND($L2&lt;&gt;0,$K2&lt;&gt;0),$L2/$K2,"")</f>
        <v>0.284276150627615</v>
      </c>
      <c r="N2" s="8">
        <v>70</v>
      </c>
      <c r="O2" s="18">
        <f t="shared" ref="O2:O13" si="2">IF(AND($N2&lt;&gt;0,$K2&lt;&gt;0),$N2/$K2,"")</f>
        <v>0.0195258019525802</v>
      </c>
      <c r="P2" s="19">
        <f>IFERROR(SUMIF([1]商务费用支付申请!$A:$A,#REF!,[1]商务费用支付申请!$C:$C),"0")</f>
        <v>0</v>
      </c>
      <c r="Q2" s="28">
        <f>IF(AND(($L2*$I2-$P2)&lt;&gt;0,($K2*$I2)&lt;&gt;0),($L2*$I2-$P2)/($K2*$I2),"")</f>
        <v>0.284276150627615</v>
      </c>
      <c r="R2" s="29">
        <v>4100162704</v>
      </c>
      <c r="S2" s="30">
        <f>P2-N2*I2</f>
        <v>-7000</v>
      </c>
    </row>
    <row r="3" s="2" customFormat="1" ht="15" customHeight="1" spans="1:19">
      <c r="A3" s="8" t="s">
        <v>19</v>
      </c>
      <c r="B3" s="8" t="s">
        <v>20</v>
      </c>
      <c r="C3" s="8" t="s">
        <v>26</v>
      </c>
      <c r="D3" s="8" t="s">
        <v>27</v>
      </c>
      <c r="E3" s="8" t="s">
        <v>28</v>
      </c>
      <c r="F3" s="9"/>
      <c r="G3" s="10" t="s">
        <v>29</v>
      </c>
      <c r="H3" s="8" t="s">
        <v>25</v>
      </c>
      <c r="I3" s="8">
        <v>80</v>
      </c>
      <c r="J3" s="9">
        <v>2565.87</v>
      </c>
      <c r="K3" s="8">
        <v>3585</v>
      </c>
      <c r="L3" s="8">
        <f t="shared" si="0"/>
        <v>1019.13</v>
      </c>
      <c r="M3" s="17">
        <f t="shared" si="1"/>
        <v>0.284276150627615</v>
      </c>
      <c r="N3" s="8">
        <v>67</v>
      </c>
      <c r="O3" s="18">
        <f t="shared" si="2"/>
        <v>0.0186889818688982</v>
      </c>
      <c r="P3" s="19">
        <f>IFERROR(SUMIF([1]商务费用支付申请!$A:$A,#REF!,[1]商务费用支付申请!$C:$C),"0")</f>
        <v>0</v>
      </c>
      <c r="Q3" s="28">
        <f>IF(AND(($L3*$I3-$P3)&lt;&gt;0,($K3*$I3)&lt;&gt;0),($L3*$I3-$P3)/($K3*$I3),"")</f>
        <v>0.284276150627615</v>
      </c>
      <c r="R3" s="29" t="s">
        <v>30</v>
      </c>
      <c r="S3" s="30">
        <f>P3-N3*I3</f>
        <v>-5360</v>
      </c>
    </row>
    <row r="4" s="2" customFormat="1" ht="15" customHeight="1" spans="1:19">
      <c r="A4" s="8" t="s">
        <v>19</v>
      </c>
      <c r="B4" s="8" t="s">
        <v>20</v>
      </c>
      <c r="C4" s="8" t="s">
        <v>26</v>
      </c>
      <c r="D4" s="8" t="s">
        <v>27</v>
      </c>
      <c r="E4" s="8" t="s">
        <v>28</v>
      </c>
      <c r="F4" s="9"/>
      <c r="G4" s="10" t="s">
        <v>31</v>
      </c>
      <c r="H4" s="8" t="s">
        <v>32</v>
      </c>
      <c r="I4" s="8">
        <v>162</v>
      </c>
      <c r="J4" s="9">
        <v>557.6</v>
      </c>
      <c r="K4" s="8">
        <v>1752</v>
      </c>
      <c r="L4" s="8">
        <f t="shared" si="0"/>
        <v>1194.4</v>
      </c>
      <c r="M4" s="17">
        <f t="shared" si="1"/>
        <v>0.681735159817352</v>
      </c>
      <c r="N4" s="8">
        <v>100</v>
      </c>
      <c r="O4" s="18">
        <f t="shared" si="2"/>
        <v>0.0570776255707763</v>
      </c>
      <c r="P4" s="19">
        <f>IFERROR(SUMIF([1]商务费用支付申请!$A:$A,#REF!,[1]商务费用支付申请!$C:$C),"0")</f>
        <v>0</v>
      </c>
      <c r="Q4" s="28">
        <f>IF(AND(($L4*$I4-$P4)&lt;&gt;0,($K4*$I4)&lt;&gt;0),($L4*$I4-$P4)/($K4*$I4),"")</f>
        <v>0.681735159817352</v>
      </c>
      <c r="R4" s="26" t="s">
        <v>33</v>
      </c>
      <c r="S4" s="30">
        <f>P4-N4*I4</f>
        <v>-16200</v>
      </c>
    </row>
    <row r="5" s="2" customFormat="1" ht="15" customHeight="1" spans="1:19">
      <c r="A5" s="8" t="s">
        <v>19</v>
      </c>
      <c r="B5" s="8" t="s">
        <v>20</v>
      </c>
      <c r="C5" s="8" t="s">
        <v>26</v>
      </c>
      <c r="D5" s="8" t="s">
        <v>27</v>
      </c>
      <c r="E5" s="8" t="s">
        <v>28</v>
      </c>
      <c r="F5" s="9"/>
      <c r="G5" s="10" t="s">
        <v>34</v>
      </c>
      <c r="H5" s="8" t="s">
        <v>35</v>
      </c>
      <c r="I5" s="8">
        <v>254</v>
      </c>
      <c r="J5" s="9">
        <v>619.5</v>
      </c>
      <c r="K5" s="8">
        <v>1290</v>
      </c>
      <c r="L5" s="8">
        <f t="shared" si="0"/>
        <v>670.5</v>
      </c>
      <c r="M5" s="17">
        <f t="shared" si="1"/>
        <v>0.519767441860465</v>
      </c>
      <c r="N5" s="8">
        <v>50</v>
      </c>
      <c r="O5" s="18">
        <f t="shared" si="2"/>
        <v>0.0387596899224806</v>
      </c>
      <c r="P5" s="20">
        <v>0</v>
      </c>
      <c r="Q5" s="28">
        <f>IF(AND(($L5*$I5-$P6)&lt;&gt;0,($K5*$I5)&lt;&gt;0),($L5*$I5-$P6)/($K5*$I5),"")</f>
        <v>0.519767441860465</v>
      </c>
      <c r="R5" s="26" t="s">
        <v>36</v>
      </c>
      <c r="S5" s="30">
        <f>P6-N5*I5</f>
        <v>-12700</v>
      </c>
    </row>
    <row r="6" s="2" customFormat="1" ht="15" customHeight="1" spans="1:19">
      <c r="A6" s="8" t="s">
        <v>19</v>
      </c>
      <c r="B6" s="8" t="s">
        <v>20</v>
      </c>
      <c r="C6" s="8" t="s">
        <v>26</v>
      </c>
      <c r="D6" s="8" t="s">
        <v>27</v>
      </c>
      <c r="E6" s="8" t="s">
        <v>28</v>
      </c>
      <c r="F6" s="9"/>
      <c r="G6" s="10" t="s">
        <v>37</v>
      </c>
      <c r="H6" s="8" t="s">
        <v>38</v>
      </c>
      <c r="I6" s="8">
        <v>12</v>
      </c>
      <c r="J6" s="9">
        <v>1195</v>
      </c>
      <c r="K6" s="8">
        <v>1850</v>
      </c>
      <c r="L6" s="8">
        <f t="shared" si="0"/>
        <v>655</v>
      </c>
      <c r="M6" s="17">
        <f t="shared" si="1"/>
        <v>0.354054054054054</v>
      </c>
      <c r="N6" s="8">
        <v>100</v>
      </c>
      <c r="O6" s="18">
        <f t="shared" si="2"/>
        <v>0.0540540540540541</v>
      </c>
      <c r="P6" s="19">
        <f>IFERROR(SUMIF([1]商务费用支付申请!$A:$A,#REF!,[1]商务费用支付申请!$C:$C),"0")</f>
        <v>0</v>
      </c>
      <c r="Q6" s="28">
        <f>IF(AND(($L6*$I6-$P9)&lt;&gt;0,($K6*$I6)&lt;&gt;0),($L6*$I6-$P9)/($K6*$I6),"")</f>
        <v>0.354054054054054</v>
      </c>
      <c r="R6" s="31">
        <v>5910646549</v>
      </c>
      <c r="S6" s="30">
        <f>P9-N6*I6</f>
        <v>-1200</v>
      </c>
    </row>
    <row r="7" s="2" customFormat="1" ht="15" customHeight="1" spans="1:19">
      <c r="A7" s="8" t="s">
        <v>19</v>
      </c>
      <c r="B7" s="8" t="s">
        <v>20</v>
      </c>
      <c r="C7" s="8" t="s">
        <v>26</v>
      </c>
      <c r="D7" s="8" t="s">
        <v>27</v>
      </c>
      <c r="E7" s="8" t="s">
        <v>28</v>
      </c>
      <c r="F7" s="9"/>
      <c r="G7" s="10" t="s">
        <v>37</v>
      </c>
      <c r="H7" s="8" t="s">
        <v>38</v>
      </c>
      <c r="I7" s="8">
        <v>23</v>
      </c>
      <c r="J7" s="9">
        <v>973</v>
      </c>
      <c r="K7" s="8">
        <v>1500</v>
      </c>
      <c r="L7" s="8">
        <f t="shared" si="0"/>
        <v>527</v>
      </c>
      <c r="M7" s="17">
        <f t="shared" si="1"/>
        <v>0.351333333333333</v>
      </c>
      <c r="N7" s="8">
        <v>50</v>
      </c>
      <c r="O7" s="18">
        <f t="shared" si="2"/>
        <v>0.0333333333333333</v>
      </c>
      <c r="P7" s="19">
        <f>IFERROR(SUMIF([1]商务费用支付申请!$A:$A,#REF!,[1]商务费用支付申请!$C:$C),"0")</f>
        <v>0</v>
      </c>
      <c r="Q7" s="28">
        <f>IF(AND(($L7*$I7-$P10)&lt;&gt;0,($K7*$I7)&lt;&gt;0),($L7*$I7-$P10)/($K7*$I7),"")</f>
        <v>0.351333333333333</v>
      </c>
      <c r="R7" s="31" t="s">
        <v>39</v>
      </c>
      <c r="S7" s="30">
        <f>P10-N7*I7</f>
        <v>-1150</v>
      </c>
    </row>
    <row r="8" s="2" customFormat="1" ht="15" customHeight="1" spans="1:19">
      <c r="A8" s="8" t="s">
        <v>19</v>
      </c>
      <c r="B8" s="8" t="s">
        <v>20</v>
      </c>
      <c r="C8" s="8" t="s">
        <v>26</v>
      </c>
      <c r="D8" s="8" t="s">
        <v>27</v>
      </c>
      <c r="E8" s="8" t="s">
        <v>28</v>
      </c>
      <c r="F8" s="9"/>
      <c r="G8" s="10" t="s">
        <v>40</v>
      </c>
      <c r="H8" s="8" t="s">
        <v>38</v>
      </c>
      <c r="I8" s="8">
        <v>47</v>
      </c>
      <c r="J8" s="9">
        <v>1195</v>
      </c>
      <c r="K8" s="8">
        <v>2017</v>
      </c>
      <c r="L8" s="8">
        <f t="shared" si="0"/>
        <v>822</v>
      </c>
      <c r="M8" s="17">
        <f t="shared" si="1"/>
        <v>0.407535944471988</v>
      </c>
      <c r="N8" s="8">
        <v>100</v>
      </c>
      <c r="O8" s="18">
        <f t="shared" si="2"/>
        <v>0.0495785820525533</v>
      </c>
      <c r="P8" s="19">
        <f>IFERROR(SUMIF([1]商务费用支付申请!$A:$A,#REF!,[1]商务费用支付申请!$C:$C),"0")</f>
        <v>0</v>
      </c>
      <c r="Q8" s="28">
        <f>IF(AND(($L8*$I8-$P10)&lt;&gt;0,($K8*$I8)&lt;&gt;0),($L8*$I8-$P10)/($K8*$I8),"")</f>
        <v>0.407535944471988</v>
      </c>
      <c r="R8" s="26" t="s">
        <v>41</v>
      </c>
      <c r="S8" s="30">
        <f>P10-N8*I8</f>
        <v>-4700</v>
      </c>
    </row>
    <row r="9" s="2" customFormat="1" ht="15" customHeight="1" spans="1:19">
      <c r="A9" s="8" t="s">
        <v>19</v>
      </c>
      <c r="B9" s="8" t="s">
        <v>20</v>
      </c>
      <c r="C9" s="8" t="s">
        <v>42</v>
      </c>
      <c r="D9" s="8" t="s">
        <v>43</v>
      </c>
      <c r="E9" s="8" t="s">
        <v>44</v>
      </c>
      <c r="F9" s="9"/>
      <c r="G9" s="9" t="s">
        <v>45</v>
      </c>
      <c r="H9" s="8" t="s">
        <v>32</v>
      </c>
      <c r="I9" s="8">
        <v>25</v>
      </c>
      <c r="J9" s="9">
        <v>600</v>
      </c>
      <c r="K9" s="8">
        <v>1146</v>
      </c>
      <c r="L9" s="8">
        <f t="shared" si="0"/>
        <v>546</v>
      </c>
      <c r="M9" s="17">
        <f t="shared" si="1"/>
        <v>0.476439790575916</v>
      </c>
      <c r="N9" s="8">
        <v>50</v>
      </c>
      <c r="O9" s="18">
        <f t="shared" si="2"/>
        <v>0.043630017452007</v>
      </c>
      <c r="P9" s="19">
        <f>IFERROR(SUMIF([1]商务费用支付申请!$A:$A,#REF!,[1]商务费用支付申请!$C:$C),"0")</f>
        <v>0</v>
      </c>
      <c r="Q9" s="28">
        <f t="shared" ref="Q9:Q13" si="3">IF(AND(($L9*$I9-$P9)&lt;&gt;0,($K9*$I9)&lt;&gt;0),($L9*$I9-$P9)/($K9*$I9),"")</f>
        <v>0.476439790575916</v>
      </c>
      <c r="R9" s="26" t="s">
        <v>46</v>
      </c>
      <c r="S9" s="30">
        <f t="shared" ref="S9:S13" si="4">P9-N9*I9</f>
        <v>-1250</v>
      </c>
    </row>
    <row r="10" s="2" customFormat="1" ht="16" customHeight="1" spans="1:19">
      <c r="A10" s="8" t="s">
        <v>19</v>
      </c>
      <c r="B10" s="8" t="s">
        <v>20</v>
      </c>
      <c r="C10" s="8" t="s">
        <v>47</v>
      </c>
      <c r="D10" s="8" t="s">
        <v>48</v>
      </c>
      <c r="E10" s="8" t="s">
        <v>49</v>
      </c>
      <c r="F10" s="9"/>
      <c r="G10" s="10" t="s">
        <v>50</v>
      </c>
      <c r="H10" s="8" t="s">
        <v>35</v>
      </c>
      <c r="I10" s="8">
        <v>144</v>
      </c>
      <c r="J10" s="9">
        <v>796</v>
      </c>
      <c r="K10" s="8">
        <v>2035</v>
      </c>
      <c r="L10" s="8">
        <f t="shared" si="0"/>
        <v>1239</v>
      </c>
      <c r="M10" s="17">
        <f t="shared" si="1"/>
        <v>0.608845208845209</v>
      </c>
      <c r="N10" s="8">
        <v>100</v>
      </c>
      <c r="O10" s="18">
        <f t="shared" si="2"/>
        <v>0.0491400491400491</v>
      </c>
      <c r="P10" s="19">
        <f>IFERROR(SUMIF([1]商务费用支付申请!$A:$A,#REF!,[1]商务费用支付申请!$C:$C),"")</f>
        <v>0</v>
      </c>
      <c r="Q10" s="28">
        <f t="shared" si="3"/>
        <v>0.608845208845209</v>
      </c>
      <c r="R10" s="29" t="s">
        <v>51</v>
      </c>
      <c r="S10" s="30">
        <f t="shared" si="4"/>
        <v>-14400</v>
      </c>
    </row>
    <row r="11" s="2" customFormat="1" ht="15" customHeight="1" spans="1:19">
      <c r="A11" s="8" t="s">
        <v>19</v>
      </c>
      <c r="B11" s="8" t="s">
        <v>20</v>
      </c>
      <c r="C11" s="8" t="s">
        <v>47</v>
      </c>
      <c r="D11" s="8" t="s">
        <v>48</v>
      </c>
      <c r="E11" s="8" t="s">
        <v>49</v>
      </c>
      <c r="F11" s="9"/>
      <c r="G11" s="10" t="s">
        <v>52</v>
      </c>
      <c r="H11" s="8" t="s">
        <v>32</v>
      </c>
      <c r="I11" s="8">
        <v>40</v>
      </c>
      <c r="J11" s="9">
        <v>558</v>
      </c>
      <c r="K11" s="8">
        <v>884</v>
      </c>
      <c r="L11" s="8">
        <f t="shared" si="0"/>
        <v>326</v>
      </c>
      <c r="M11" s="17">
        <f t="shared" si="1"/>
        <v>0.368778280542986</v>
      </c>
      <c r="N11" s="8">
        <v>50</v>
      </c>
      <c r="O11" s="18">
        <f t="shared" si="2"/>
        <v>0.0565610859728507</v>
      </c>
      <c r="P11" s="19">
        <f>IFERROR(SUMIF([1]商务费用支付申请!$A:$A,#REF!,[1]商务费用支付申请!$C:$C),"")</f>
        <v>0</v>
      </c>
      <c r="Q11" s="28">
        <f t="shared" si="3"/>
        <v>0.368778280542986</v>
      </c>
      <c r="R11" s="26" t="s">
        <v>53</v>
      </c>
      <c r="S11" s="30">
        <f t="shared" si="4"/>
        <v>-2000</v>
      </c>
    </row>
    <row r="12" s="2" customFormat="1" ht="15" customHeight="1" spans="1:19">
      <c r="A12" s="8" t="s">
        <v>19</v>
      </c>
      <c r="B12" s="8" t="s">
        <v>20</v>
      </c>
      <c r="C12" s="8" t="s">
        <v>47</v>
      </c>
      <c r="D12" s="8" t="s">
        <v>54</v>
      </c>
      <c r="E12" s="8" t="s">
        <v>49</v>
      </c>
      <c r="F12" s="9"/>
      <c r="G12" s="10" t="s">
        <v>55</v>
      </c>
      <c r="H12" s="8" t="s">
        <v>25</v>
      </c>
      <c r="I12" s="8">
        <v>200</v>
      </c>
      <c r="J12" s="9">
        <v>2565.87</v>
      </c>
      <c r="K12" s="8">
        <v>3585</v>
      </c>
      <c r="L12" s="8">
        <f t="shared" si="0"/>
        <v>1019.13</v>
      </c>
      <c r="M12" s="17">
        <f t="shared" si="1"/>
        <v>0.284276150627615</v>
      </c>
      <c r="N12" s="8">
        <v>67</v>
      </c>
      <c r="O12" s="18">
        <f t="shared" si="2"/>
        <v>0.0186889818688982</v>
      </c>
      <c r="P12" s="19">
        <f>IFERROR(SUMIF([1]商务费用支付申请!$A:$A,#REF!,[1]商务费用支付申请!$C:$C),"")</f>
        <v>0</v>
      </c>
      <c r="Q12" s="28">
        <f t="shared" si="3"/>
        <v>0.284276150627615</v>
      </c>
      <c r="R12" s="29" t="s">
        <v>56</v>
      </c>
      <c r="S12" s="30">
        <f t="shared" si="4"/>
        <v>-13400</v>
      </c>
    </row>
    <row r="13" s="2" customFormat="1" spans="1:19">
      <c r="A13" s="8" t="s">
        <v>19</v>
      </c>
      <c r="B13" s="11" t="s">
        <v>20</v>
      </c>
      <c r="C13" s="11" t="s">
        <v>57</v>
      </c>
      <c r="D13" s="11" t="s">
        <v>58</v>
      </c>
      <c r="E13" s="11" t="s">
        <v>59</v>
      </c>
      <c r="F13" s="12"/>
      <c r="G13" s="12" t="s">
        <v>60</v>
      </c>
      <c r="H13" s="11" t="s">
        <v>25</v>
      </c>
      <c r="I13" s="11">
        <v>110</v>
      </c>
      <c r="J13" s="12">
        <v>2565.87</v>
      </c>
      <c r="K13" s="11">
        <v>3585</v>
      </c>
      <c r="L13" s="11">
        <v>1019.13</v>
      </c>
      <c r="M13" s="21">
        <f t="shared" si="1"/>
        <v>0.284276150627615</v>
      </c>
      <c r="N13" s="11">
        <v>50</v>
      </c>
      <c r="O13" s="22">
        <f t="shared" si="2"/>
        <v>0.0139470013947001</v>
      </c>
      <c r="P13" s="23">
        <f>IFERROR(SUMIF([1]商务费用支付申请!$A:$A,#REF!,[1]商务费用支付申请!$C:$C),"")</f>
        <v>0</v>
      </c>
      <c r="Q13" s="32">
        <f t="shared" si="3"/>
        <v>0.284276150627615</v>
      </c>
      <c r="R13" s="33" t="s">
        <v>61</v>
      </c>
      <c r="S13" s="30">
        <f t="shared" si="4"/>
        <v>-5500</v>
      </c>
    </row>
    <row r="14" s="3" customFormat="1" ht="27" spans="1:19">
      <c r="A14" s="13" t="s">
        <v>62</v>
      </c>
      <c r="B14" s="13" t="s">
        <v>20</v>
      </c>
      <c r="C14" s="13" t="s">
        <v>63</v>
      </c>
      <c r="D14" s="13" t="s">
        <v>64</v>
      </c>
      <c r="E14" s="13" t="s">
        <v>65</v>
      </c>
      <c r="F14" s="13"/>
      <c r="G14" s="13" t="s">
        <v>60</v>
      </c>
      <c r="H14" s="13" t="s">
        <v>25</v>
      </c>
      <c r="I14" s="13">
        <v>80</v>
      </c>
      <c r="J14" s="9">
        <v>2565.87</v>
      </c>
      <c r="K14" s="8">
        <v>3585</v>
      </c>
      <c r="L14" s="8">
        <v>1019.13</v>
      </c>
      <c r="M14" s="17">
        <f>IF(AND($L14&lt;&gt;0,$K14&lt;&gt;0),$L14/$K14,"")</f>
        <v>0.284276150627615</v>
      </c>
      <c r="N14" s="13">
        <v>50</v>
      </c>
      <c r="O14" s="18">
        <f>IF(AND($N14&lt;&gt;0,$K14&lt;&gt;0),$N14/$K14,"")</f>
        <v>0.0139470013947001</v>
      </c>
      <c r="P14" s="24">
        <v>0</v>
      </c>
      <c r="Q14" s="28">
        <f>IF(AND(($L14*$I14-$P14)&lt;&gt;0,($K14*$I14)&lt;&gt;0),($L14*$I14-$P14)/($K14*$I14),"")</f>
        <v>0.284276150627615</v>
      </c>
      <c r="R14" s="34" t="s">
        <v>66</v>
      </c>
      <c r="S14" s="30">
        <f>P14-N14*I14</f>
        <v>-4000</v>
      </c>
    </row>
    <row r="15" spans="18:19">
      <c r="R15" s="35" t="s">
        <v>67</v>
      </c>
      <c r="S15" s="3">
        <f>SUM(S2:S14)</f>
        <v>-88860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下半年累计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wangw</dc:creator>
  <cp:lastModifiedBy>w</cp:lastModifiedBy>
  <dcterms:created xsi:type="dcterms:W3CDTF">2023-12-28T11:00:00Z</dcterms:created>
  <dcterms:modified xsi:type="dcterms:W3CDTF">2023-12-28T11:11:14Z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37A17CC0FE854C3A9B1C0EA24C73CAFF_11</vt:lpwstr>
  </property>
  <property fmtid="{D5CDD505-2E9C-101B-9397-08002B2CF9AE}" pid="3" name="KSOProductBuildVer">
    <vt:lpwstr>2052-12.1.0.15990</vt:lpwstr>
  </property>
</Properties>
</file>