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商务费用报备申请单" sheetId="1" r:id="rId1"/>
    <sheet name="商务费用支付申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<sst xmlns="http://schemas.openxmlformats.org/spreadsheetml/2006/main" count="257" uniqueCount="124">
  <si>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</si>
  <si>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</si>
  <si>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</si>
  <si>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</si>
  <si>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</si>
  <si>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</si>
  <si>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</si>
  <si>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</si>
  <si>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</si>
  <si>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</si>
  <si>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</si>
  <si>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</si>
  <si>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</si>
  <si>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</si>
  <si>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</si>
  <si>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</si>
  <si>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</si>
  <si>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费用率</t>
  </si>
  <si>
    <t>申请支付商务费用</t>
  </si>
  <si>
    <t>实际毛利率</t>
  </si>
  <si>
    <t>订单号</t>
  </si>
  <si>
    <t>差额</t>
  </si>
  <si>
    <t>2023.5.19</t>
  </si>
  <si>
    <t>洪文泽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</si>
  <si>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</si>
  <si>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</si>
  <si>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</si>
  <si>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</si>
  <si>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</si>
  <si>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</si>
  <si>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2023.5.22</t>
  </si>
  <si>
    <t>抚州铜线工厂</t>
  </si>
  <si>
    <t>刘琦</t>
  </si>
  <si>
    <t>预计6月底</t>
  </si>
  <si>
    <t>工控一体机15寸/256G固态硬盘/CPU英特尔i78代8线程主频＞1.9HZ以</t>
  </si>
  <si>
    <t>抚州线束工厂</t>
  </si>
  <si>
    <t>7月份</t>
  </si>
  <si>
    <t>TT065-50</t>
  </si>
  <si>
    <t>H100W</t>
  </si>
  <si>
    <t>宁乡电池工厂</t>
  </si>
  <si>
    <t>邓立勃</t>
  </si>
  <si>
    <t>J20-B</t>
  </si>
  <si>
    <t>海康3013-SR-U</t>
  </si>
  <si>
    <t>2023.3.13</t>
  </si>
  <si>
    <t>电动总成</t>
  </si>
  <si>
    <t>王新田</t>
  </si>
  <si>
    <t>MV-FDT911-NR_x0002_U_有线手持式</t>
  </si>
  <si>
    <t>海康7010N</t>
  </si>
  <si>
    <t>2023.6.29</t>
  </si>
  <si>
    <t>雨花电动总成</t>
  </si>
  <si>
    <t>准备在内部商场采购</t>
  </si>
  <si>
    <t>骧腾FV20-13读码器</t>
  </si>
  <si>
    <t>海康ID2013</t>
  </si>
  <si>
    <t>看能不能直接在内部商场购买</t>
  </si>
  <si>
    <t>12.1寸全铝电容,I5-11代（1135G7）</t>
  </si>
  <si>
    <t>平田</t>
  </si>
  <si>
    <t>2023.7.5</t>
  </si>
  <si>
    <t>湘潭</t>
  </si>
  <si>
    <t>张雷</t>
  </si>
  <si>
    <t>7月</t>
  </si>
  <si>
    <t>2023.7.10</t>
  </si>
  <si>
    <t>刘涵政</t>
  </si>
  <si>
    <t>XT/骧腾 对讲机 HT31 430~440MHz 黑色2W 台</t>
  </si>
  <si>
    <t>骧腾</t>
  </si>
  <si>
    <t>9702PDA</t>
  </si>
  <si>
    <t>IDATA  T1</t>
  </si>
  <si>
    <t>2023.8.10</t>
  </si>
  <si>
    <t>8月份</t>
  </si>
  <si>
    <t>H391N-C</t>
  </si>
  <si>
    <t>H29C串口版</t>
  </si>
  <si>
    <t>2023.9.1</t>
  </si>
  <si>
    <t>雨花电源工厂</t>
  </si>
  <si>
    <t>万顺利</t>
  </si>
  <si>
    <t>9月份</t>
  </si>
  <si>
    <t>IPPC-2115</t>
  </si>
  <si>
    <t>骧腾IPPC-2115</t>
  </si>
  <si>
    <t>工业平板</t>
  </si>
  <si>
    <t>电驱工厂</t>
  </si>
  <si>
    <t>曾玮</t>
  </si>
  <si>
    <t>IDATA  W1</t>
  </si>
  <si>
    <t>P1</t>
  </si>
  <si>
    <t>2023.9.18</t>
  </si>
  <si>
    <t>MZ-2297</t>
  </si>
  <si>
    <t>120-130</t>
  </si>
  <si>
    <t>长沙线束工厂</t>
  </si>
  <si>
    <t>陆思宏</t>
  </si>
  <si>
    <t>济南电池</t>
  </si>
  <si>
    <t>杨博凯</t>
  </si>
  <si>
    <t>骧腾6880</t>
  </si>
  <si>
    <t>2023.9.23</t>
  </si>
  <si>
    <t>9月-10月</t>
  </si>
  <si>
    <t>MX-8068MB</t>
  </si>
  <si>
    <t>海康7010</t>
  </si>
  <si>
    <t>W10PRO</t>
  </si>
  <si>
    <t>P10PRO</t>
  </si>
  <si>
    <t>安卓工业平板</t>
  </si>
  <si>
    <t>IPPC-1885</t>
  </si>
  <si>
    <t>工控一体机</t>
  </si>
  <si>
    <t>2023.9.25</t>
  </si>
  <si>
    <t>抚州结构件工厂（震坤行）</t>
  </si>
  <si>
    <t>王军</t>
  </si>
  <si>
    <t>9-10月</t>
  </si>
  <si>
    <t>XT-9880</t>
  </si>
  <si>
    <t>T1</t>
  </si>
  <si>
    <t>40(分批下）</t>
  </si>
  <si>
    <t>雨花线束</t>
  </si>
  <si>
    <t>10月份</t>
  </si>
  <si>
    <t>陈佳</t>
  </si>
  <si>
    <t>TT065-60</t>
  </si>
  <si>
    <t>J16</t>
  </si>
  <si>
    <t>准备用H100W代替</t>
  </si>
  <si>
    <t>跟上次陈佳的是一个单</t>
  </si>
  <si>
    <t>望城比亚迪</t>
  </si>
  <si>
    <t>余文涛</t>
  </si>
  <si>
    <t>HD7100</t>
  </si>
  <si>
    <t>SH-400</t>
  </si>
  <si>
    <t>2023.10.19</t>
  </si>
  <si>
    <t>XINAGTENG-L220</t>
  </si>
  <si>
    <t>海康3013B</t>
  </si>
  <si>
    <t>2023.10.30</t>
  </si>
  <si>
    <t>湘潭线束</t>
  </si>
  <si>
    <t>11月份</t>
  </si>
  <si>
    <t>商务费用</t>
  </si>
  <si>
    <t>700025XXX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</si>
</sst>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等线"/>
      <charset val="134"/>
      <scheme val="minor"/>
    </font>
    <font>
      <sz val="9"/>
      <color rgb="FF000000"/>
      <name val="Microsoft YaHei"/>
      <charset val="134"/>
    </font>
    <font>
      <sz val="9"/>
      <color rgb="FF333333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0" applyNumberFormat="1" applyBorder="1" applyAlignment="1">
      <alignment vertical="top"/>
    </xf>
    <xf numFmtId="0" fontId="0" fillId="0" borderId="1" xfId="0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0" fontId="0" fillId="0" borderId="1" xfId="0" applyNumberFormat="1" applyBorder="1" applyProtection="1">
      <alignment vertical="center"/>
    </xf>
    <xf numFmtId="10" fontId="0" fillId="0" borderId="1" xfId="3" applyNumberFormat="1" applyBorder="1" applyProtection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Protection="1">
      <alignment vertical="center"/>
      <protection hidden="1"/>
    </xf>
    <xf numFmtId="10" fontId="0" fillId="2" borderId="1" xfId="3" applyNumberFormat="1" applyFill="1" applyBorder="1" applyAlignment="1">
      <alignment vertical="center" shrinkToFit="1"/>
    </xf>
    <xf numFmtId="0" fontId="0" fillId="2" borderId="1" xfId="0" applyFill="1" applyBorder="1" applyProtection="1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abSelected="1" topLeftCell="A11" workbookViewId="0">
      <selection activeCell="L41" sqref="L41"/>
    </sheetView>
  </sheetViews>
  <sheetFormatPr defaultColWidth="9" defaultRowHeight="14"/>
  <cols>
    <col min="1" max="1" width="9.75" customWidth="1"/>
    <col min="2" max="2" width="11.9166666666667" customWidth="1"/>
    <col min="3" max="3" width="9.5" customWidth="1"/>
    <col min="4" max="4" width="15" customWidth="1"/>
    <col min="5" max="5" width="11.5833333333333" customWidth="1"/>
    <col min="6" max="6" width="8" customWidth="1"/>
    <col min="7" max="7" width="8.91666666666667" customWidth="1"/>
    <col min="8" max="9" width="15.5833333333333" customWidth="1"/>
    <col min="11" max="11" width="8" customWidth="1"/>
    <col min="14" max="14" width="9.25" style="4" customWidth="1"/>
    <col min="15" max="15" width="8.375" customWidth="1"/>
    <col min="16" max="16" width="11.25" style="5" customWidth="1"/>
    <col min="17" max="17" width="10.875" style="6" customWidth="1"/>
    <col min="18" max="18" width="6.25" style="7" customWidth="1"/>
    <col min="19" max="19" width="14.25" style="8" customWidth="1"/>
    <col min="20" max="20" width="8.875" customWidth="1"/>
  </cols>
  <sheetData>
    <row r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4"/>
      <c r="O1" s="9"/>
      <c r="P1" s="14"/>
      <c r="Q1" s="21" t="s">
        <v>1</v>
      </c>
      <c r="R1" s="22"/>
      <c r="S1" s="23"/>
    </row>
    <row r="2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4"/>
      <c r="O2" s="9"/>
      <c r="P2" s="14"/>
      <c r="Q2" s="21"/>
      <c r="R2" s="22"/>
      <c r="S2" s="23"/>
    </row>
    <row r="3" s="3" customFormat="1" ht="30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5" t="s">
        <v>15</v>
      </c>
      <c r="O3" s="10" t="s">
        <v>16</v>
      </c>
      <c r="P3" s="16" t="s">
        <v>17</v>
      </c>
      <c r="Q3" s="24" t="s">
        <v>18</v>
      </c>
      <c r="R3" s="25" t="s">
        <v>19</v>
      </c>
      <c r="S3" s="26" t="s">
        <v>20</v>
      </c>
      <c r="T3" s="3" t="s">
        <v>21</v>
      </c>
    </row>
    <row r="4" spans="1:19">
      <c r="A4" s="11"/>
      <c r="B4" s="11" t="s">
        <v>22</v>
      </c>
      <c r="C4" s="11" t="s">
        <v>23</v>
      </c>
      <c r="D4" s="11" t="s">
        <v>24</v>
      </c>
      <c r="E4" s="11" t="s">
        <v>25</v>
      </c>
      <c r="F4" s="11"/>
      <c r="G4" s="11" t="s">
        <v>26</v>
      </c>
      <c r="H4" s="11" t="s">
        <v>27</v>
      </c>
      <c r="I4" s="11" t="s">
        <v>28</v>
      </c>
      <c r="J4" s="11">
        <v>20</v>
      </c>
      <c r="K4" s="11">
        <v>5800</v>
      </c>
      <c r="L4" s="11">
        <v>8500</v>
      </c>
      <c r="M4" s="11">
        <f t="shared" ref="M4:M11" si="0">L4-K4</f>
        <v>2700</v>
      </c>
      <c r="N4" s="17">
        <f t="shared" ref="N4:N16" si="1">IF(AND($M4&lt;&gt;0,$L4&lt;&gt;0),$M4/$L4,"")</f>
        <v>0.317647058823529</v>
      </c>
      <c r="O4" s="11">
        <v>500</v>
      </c>
      <c r="P4" s="18">
        <f t="shared" ref="P4:P16" si="2">IF(AND($O4&lt;&gt;0,$L4&lt;&gt;0),$O4/$L4,"")</f>
        <v>0.0588235294117647</v>
      </c>
      <c r="Q4" s="27"/>
      <c r="R4" s="28">
        <f t="shared" ref="R4:R16" si="3">IF(AND(($M4*$J4-$Q4)&lt;&gt;0,($L4*$J4)&lt;&gt;0),($M4*$J4-$Q4)/($L4*$J4),"")</f>
        <v>0.317647058823529</v>
      </c>
      <c r="S4" s="29"/>
    </row>
    <row r="5" spans="1:19">
      <c r="A5" s="11"/>
      <c r="B5" s="11" t="s">
        <v>22</v>
      </c>
      <c r="C5" s="11" t="s">
        <v>23</v>
      </c>
      <c r="D5" s="11" t="s">
        <v>24</v>
      </c>
      <c r="E5" s="11" t="s">
        <v>25</v>
      </c>
      <c r="F5" s="11"/>
      <c r="G5" s="11" t="s">
        <v>26</v>
      </c>
      <c r="H5" s="11" t="s">
        <v>29</v>
      </c>
      <c r="I5" s="11"/>
      <c r="J5" s="11">
        <v>50</v>
      </c>
      <c r="K5" s="11">
        <v>3550</v>
      </c>
      <c r="L5" s="11">
        <v>4600</v>
      </c>
      <c r="M5" s="11">
        <f t="shared" si="0"/>
        <v>1050</v>
      </c>
      <c r="N5" s="17">
        <f t="shared" si="1"/>
        <v>0.228260869565217</v>
      </c>
      <c r="O5" s="11">
        <v>100</v>
      </c>
      <c r="P5" s="18">
        <f t="shared" si="2"/>
        <v>0.0217391304347826</v>
      </c>
      <c r="Q5" s="27"/>
      <c r="R5" s="28">
        <f t="shared" si="3"/>
        <v>0.228260869565217</v>
      </c>
      <c r="S5" s="29"/>
    </row>
    <row r="6" ht="52" spans="1:19">
      <c r="A6" s="11"/>
      <c r="B6" s="11" t="s">
        <v>30</v>
      </c>
      <c r="C6" s="11" t="s">
        <v>23</v>
      </c>
      <c r="D6" s="11" t="s">
        <v>31</v>
      </c>
      <c r="E6" s="11" t="s">
        <v>32</v>
      </c>
      <c r="F6" s="11"/>
      <c r="G6" s="11" t="s">
        <v>33</v>
      </c>
      <c r="H6" s="11" t="s">
        <v>29</v>
      </c>
      <c r="I6" s="19" t="s">
        <v>34</v>
      </c>
      <c r="J6" s="11">
        <v>80</v>
      </c>
      <c r="K6" s="11">
        <v>3000</v>
      </c>
      <c r="L6" s="11">
        <v>4051</v>
      </c>
      <c r="M6" s="11">
        <f t="shared" si="0"/>
        <v>1051</v>
      </c>
      <c r="N6" s="17">
        <f t="shared" si="1"/>
        <v>0.259442113058504</v>
      </c>
      <c r="O6" s="11">
        <v>100</v>
      </c>
      <c r="P6" s="18">
        <f t="shared" si="2"/>
        <v>0.0246852628980499</v>
      </c>
      <c r="Q6" s="27"/>
      <c r="R6" s="28">
        <f t="shared" si="3"/>
        <v>0.259442113058504</v>
      </c>
      <c r="S6" s="2"/>
    </row>
    <row r="7" spans="1:19">
      <c r="A7" s="11"/>
      <c r="B7" s="11"/>
      <c r="C7" s="11" t="s">
        <v>23</v>
      </c>
      <c r="D7" s="11" t="s">
        <v>35</v>
      </c>
      <c r="E7" s="11" t="s">
        <v>32</v>
      </c>
      <c r="F7" s="11"/>
      <c r="G7" s="11" t="s">
        <v>36</v>
      </c>
      <c r="H7" s="11" t="s">
        <v>37</v>
      </c>
      <c r="I7" s="11" t="s">
        <v>37</v>
      </c>
      <c r="J7" s="11">
        <v>120</v>
      </c>
      <c r="K7" s="11">
        <v>700</v>
      </c>
      <c r="L7" s="11">
        <v>1290</v>
      </c>
      <c r="M7" s="11">
        <f t="shared" si="0"/>
        <v>590</v>
      </c>
      <c r="N7" s="17">
        <f t="shared" si="1"/>
        <v>0.457364341085271</v>
      </c>
      <c r="O7" s="11">
        <v>100</v>
      </c>
      <c r="P7" s="18">
        <f t="shared" si="2"/>
        <v>0.0775193798449612</v>
      </c>
      <c r="Q7" s="27"/>
      <c r="R7" s="28">
        <f t="shared" si="3"/>
        <v>0.457364341085271</v>
      </c>
      <c r="S7" s="2"/>
    </row>
    <row r="8" spans="1:19">
      <c r="A8" s="11"/>
      <c r="B8" s="11"/>
      <c r="C8" s="11" t="s">
        <v>23</v>
      </c>
      <c r="D8" s="11" t="s">
        <v>35</v>
      </c>
      <c r="E8" s="11" t="s">
        <v>32</v>
      </c>
      <c r="F8" s="11"/>
      <c r="G8" s="11" t="s">
        <v>36</v>
      </c>
      <c r="H8" s="11" t="s">
        <v>38</v>
      </c>
      <c r="I8" s="11" t="s">
        <v>38</v>
      </c>
      <c r="J8" s="11">
        <v>50</v>
      </c>
      <c r="K8" s="11">
        <v>557.52</v>
      </c>
      <c r="L8" s="11">
        <v>2059</v>
      </c>
      <c r="M8" s="11">
        <f t="shared" si="0"/>
        <v>1501.48</v>
      </c>
      <c r="N8" s="17">
        <f t="shared" si="1"/>
        <v>0.729227780475959</v>
      </c>
      <c r="O8" s="11">
        <v>100</v>
      </c>
      <c r="P8" s="18">
        <f t="shared" si="2"/>
        <v>0.0485672656629432</v>
      </c>
      <c r="Q8" s="27"/>
      <c r="R8" s="28">
        <f t="shared" si="3"/>
        <v>0.729227780475959</v>
      </c>
      <c r="S8" s="2"/>
    </row>
    <row r="9" spans="1:20">
      <c r="A9" s="11"/>
      <c r="B9" s="11" t="s">
        <v>22</v>
      </c>
      <c r="C9" s="11" t="s">
        <v>23</v>
      </c>
      <c r="D9" s="11" t="s">
        <v>39</v>
      </c>
      <c r="E9" s="11" t="s">
        <v>40</v>
      </c>
      <c r="F9" s="11"/>
      <c r="G9" s="11" t="s">
        <v>26</v>
      </c>
      <c r="H9" s="11" t="s">
        <v>41</v>
      </c>
      <c r="I9" s="11" t="s">
        <v>42</v>
      </c>
      <c r="J9" s="11">
        <v>300</v>
      </c>
      <c r="K9" s="11">
        <v>513.27</v>
      </c>
      <c r="L9" s="11">
        <v>1500</v>
      </c>
      <c r="M9" s="11">
        <f t="shared" si="0"/>
        <v>986.73</v>
      </c>
      <c r="N9" s="17">
        <f t="shared" si="1"/>
        <v>0.65782</v>
      </c>
      <c r="O9" s="11">
        <v>300</v>
      </c>
      <c r="P9" s="18">
        <f t="shared" si="2"/>
        <v>0.2</v>
      </c>
      <c r="Q9" s="27">
        <f>IFERROR(SUMIF(商务费用支付申请!$A:$A,$A9,商务费用支付申请!$C:$C),"")</f>
        <v>0</v>
      </c>
      <c r="R9" s="28">
        <f t="shared" si="3"/>
        <v>0.65782</v>
      </c>
      <c r="S9" s="29" t="str">
        <f>IFERROR(VLOOKUP(A9,商务费用支付申请!A:B,2,0),"")</f>
        <v/>
      </c>
      <c r="T9">
        <f>Q9-O9*J9</f>
        <v>-90000</v>
      </c>
    </row>
    <row r="10" ht="28" spans="1:20">
      <c r="A10" s="11"/>
      <c r="B10" s="11" t="s">
        <v>43</v>
      </c>
      <c r="C10" s="11" t="s">
        <v>23</v>
      </c>
      <c r="D10" s="11" t="s">
        <v>44</v>
      </c>
      <c r="E10" s="11" t="s">
        <v>45</v>
      </c>
      <c r="F10" s="11"/>
      <c r="G10" s="11"/>
      <c r="H10" s="10" t="s">
        <v>46</v>
      </c>
      <c r="I10" s="11" t="s">
        <v>47</v>
      </c>
      <c r="J10" s="11">
        <v>20</v>
      </c>
      <c r="K10" s="11">
        <v>1221</v>
      </c>
      <c r="L10" s="11">
        <v>3300</v>
      </c>
      <c r="M10" s="11">
        <f t="shared" si="0"/>
        <v>2079</v>
      </c>
      <c r="N10" s="17">
        <f t="shared" si="1"/>
        <v>0.63</v>
      </c>
      <c r="O10" s="11">
        <v>100</v>
      </c>
      <c r="P10" s="18">
        <f t="shared" si="2"/>
        <v>0.0303030303030303</v>
      </c>
      <c r="Q10" s="27">
        <f>IFERROR(SUMIF(商务费用支付申请!$A:$A,$A10,商务费用支付申请!$C:$C),"")</f>
        <v>0</v>
      </c>
      <c r="R10" s="28">
        <f t="shared" si="3"/>
        <v>0.63</v>
      </c>
      <c r="S10" s="29" t="str">
        <f>IFERROR(VLOOKUP(A10,商务费用支付申请!A:B,2,0),"")</f>
        <v/>
      </c>
      <c r="T10">
        <f>Q10-O10*J10</f>
        <v>-2000</v>
      </c>
    </row>
    <row r="11" ht="42" spans="1:20">
      <c r="A11" s="11"/>
      <c r="B11" s="11" t="s">
        <v>48</v>
      </c>
      <c r="C11" s="11" t="s">
        <v>23</v>
      </c>
      <c r="D11" s="11" t="s">
        <v>49</v>
      </c>
      <c r="E11" s="11" t="s">
        <v>45</v>
      </c>
      <c r="F11" s="11"/>
      <c r="G11" s="10" t="s">
        <v>50</v>
      </c>
      <c r="H11" s="11" t="s">
        <v>51</v>
      </c>
      <c r="I11" s="11" t="s">
        <v>52</v>
      </c>
      <c r="J11" s="11">
        <v>20</v>
      </c>
      <c r="K11" s="11">
        <v>1600</v>
      </c>
      <c r="L11" s="11">
        <v>3200</v>
      </c>
      <c r="M11" s="11">
        <f t="shared" ref="M11:M17" si="4">L11-K11</f>
        <v>1600</v>
      </c>
      <c r="N11" s="17">
        <f t="shared" si="1"/>
        <v>0.5</v>
      </c>
      <c r="O11" s="11">
        <v>100</v>
      </c>
      <c r="P11" s="18">
        <f t="shared" si="2"/>
        <v>0.03125</v>
      </c>
      <c r="Q11" s="27">
        <f>IFERROR(SUMIF(商务费用支付申请!$A:$A,$A11,商务费用支付申请!$C:$C),"")</f>
        <v>0</v>
      </c>
      <c r="R11" s="28">
        <f t="shared" si="3"/>
        <v>0.5</v>
      </c>
      <c r="S11" s="29" t="str">
        <f>IFERROR(VLOOKUP(A11,商务费用支付申请!A:B,2,0),"")</f>
        <v/>
      </c>
      <c r="T11">
        <f>Q11-O11*J11</f>
        <v>-2000</v>
      </c>
    </row>
    <row r="12" ht="56" spans="1:20">
      <c r="A12" s="11"/>
      <c r="B12" s="11" t="s">
        <v>48</v>
      </c>
      <c r="C12" s="11" t="s">
        <v>23</v>
      </c>
      <c r="D12" s="11" t="s">
        <v>49</v>
      </c>
      <c r="E12" s="11" t="s">
        <v>45</v>
      </c>
      <c r="F12" s="11"/>
      <c r="G12" s="10" t="s">
        <v>53</v>
      </c>
      <c r="H12" s="10" t="s">
        <v>54</v>
      </c>
      <c r="I12" s="11" t="s">
        <v>55</v>
      </c>
      <c r="J12" s="11">
        <v>5</v>
      </c>
      <c r="K12" s="11">
        <v>3465</v>
      </c>
      <c r="L12" s="11">
        <v>4500</v>
      </c>
      <c r="M12" s="11">
        <f t="shared" si="4"/>
        <v>1035</v>
      </c>
      <c r="N12" s="17">
        <f t="shared" si="1"/>
        <v>0.23</v>
      </c>
      <c r="O12" s="11">
        <v>100</v>
      </c>
      <c r="P12" s="18">
        <f t="shared" si="2"/>
        <v>0.0222222222222222</v>
      </c>
      <c r="Q12" s="27">
        <f>IFERROR(SUMIF(商务费用支付申请!$A:$A,$A12,商务费用支付申请!$C:$C),"")</f>
        <v>0</v>
      </c>
      <c r="R12" s="28">
        <f t="shared" si="3"/>
        <v>0.23</v>
      </c>
      <c r="S12" s="29" t="str">
        <f>IFERROR(VLOOKUP(A12,商务费用支付申请!A:B,2,0),"")</f>
        <v/>
      </c>
      <c r="T12">
        <f>Q12-O12*J12</f>
        <v>-500</v>
      </c>
    </row>
    <row r="13" spans="1:20">
      <c r="A13" s="11"/>
      <c r="B13" s="11" t="s">
        <v>56</v>
      </c>
      <c r="C13" s="11" t="s">
        <v>23</v>
      </c>
      <c r="D13" s="11" t="s">
        <v>57</v>
      </c>
      <c r="E13" s="11" t="s">
        <v>58</v>
      </c>
      <c r="F13" s="11"/>
      <c r="G13" s="11" t="s">
        <v>59</v>
      </c>
      <c r="H13" s="11" t="s">
        <v>51</v>
      </c>
      <c r="I13" s="11" t="s">
        <v>52</v>
      </c>
      <c r="J13" s="11">
        <v>20</v>
      </c>
      <c r="K13" s="11">
        <v>1600</v>
      </c>
      <c r="L13" s="11">
        <v>3200</v>
      </c>
      <c r="M13" s="11">
        <f t="shared" si="4"/>
        <v>1600</v>
      </c>
      <c r="N13" s="17">
        <f t="shared" ref="N13:N24" si="5">IF(AND($M13&lt;&gt;0,$L13&lt;&gt;0),$M13/$L13,"")</f>
        <v>0.5</v>
      </c>
      <c r="O13" s="11">
        <v>100</v>
      </c>
      <c r="P13" s="18">
        <f t="shared" ref="P13:P26" si="6">IF(AND($O13&lt;&gt;0,$L13&lt;&gt;0),$O13/$L13,"")</f>
        <v>0.03125</v>
      </c>
      <c r="Q13" s="27">
        <f>IFERROR(SUMIF(商务费用支付申请!$A:$A,$A13,商务费用支付申请!$C:$C),"")</f>
        <v>0</v>
      </c>
      <c r="R13" s="28">
        <f t="shared" ref="R13:R18" si="7">IF(AND(($M13*$J13-$Q13)&lt;&gt;0,($L13*$J13)&lt;&gt;0),($M13*$J13-$Q13)/($L13*$J13),"")</f>
        <v>0.5</v>
      </c>
      <c r="S13" s="29" t="str">
        <f>IFERROR(VLOOKUP(A13,商务费用支付申请!A:B,2,0),"")</f>
        <v/>
      </c>
      <c r="T13">
        <f t="shared" ref="T13:T18" si="8">Q13-O13*J13</f>
        <v>-2000</v>
      </c>
    </row>
    <row r="14" ht="56" spans="1:20">
      <c r="A14" s="11"/>
      <c r="B14" s="12" t="s">
        <v>60</v>
      </c>
      <c r="C14" s="11" t="s">
        <v>23</v>
      </c>
      <c r="D14" s="11" t="s">
        <v>44</v>
      </c>
      <c r="E14" s="11" t="s">
        <v>61</v>
      </c>
      <c r="F14" s="11"/>
      <c r="G14" s="13">
        <v>45117</v>
      </c>
      <c r="H14" s="10" t="s">
        <v>62</v>
      </c>
      <c r="I14" s="11" t="s">
        <v>63</v>
      </c>
      <c r="J14" s="11">
        <v>13</v>
      </c>
      <c r="K14" s="11">
        <v>199</v>
      </c>
      <c r="L14" s="11">
        <v>565</v>
      </c>
      <c r="M14" s="11">
        <f t="shared" si="4"/>
        <v>366</v>
      </c>
      <c r="N14" s="17">
        <f t="shared" si="5"/>
        <v>0.647787610619469</v>
      </c>
      <c r="O14" s="11">
        <v>100</v>
      </c>
      <c r="P14" s="18">
        <f t="shared" si="6"/>
        <v>0.176991150442478</v>
      </c>
      <c r="Q14" s="27">
        <f>IFERROR(SUMIF(商务费用支付申请!$A:$A,$A14,商务费用支付申请!$C:$C),"")</f>
        <v>0</v>
      </c>
      <c r="R14" s="28">
        <f t="shared" si="7"/>
        <v>0.647787610619469</v>
      </c>
      <c r="S14" s="30">
        <v>5014784823</v>
      </c>
      <c r="T14">
        <f t="shared" si="8"/>
        <v>-1300</v>
      </c>
    </row>
    <row r="15" spans="1:20">
      <c r="A15" s="11"/>
      <c r="B15" s="11" t="s">
        <v>60</v>
      </c>
      <c r="C15" s="11" t="s">
        <v>23</v>
      </c>
      <c r="D15" s="11" t="s">
        <v>35</v>
      </c>
      <c r="E15" s="11" t="s">
        <v>32</v>
      </c>
      <c r="F15" s="11"/>
      <c r="G15" s="11" t="s">
        <v>36</v>
      </c>
      <c r="H15" s="11" t="s">
        <v>64</v>
      </c>
      <c r="I15" s="11" t="s">
        <v>65</v>
      </c>
      <c r="J15" s="11">
        <v>30</v>
      </c>
      <c r="K15" s="11">
        <v>1195</v>
      </c>
      <c r="L15" s="11">
        <v>2050</v>
      </c>
      <c r="M15" s="11">
        <f t="shared" si="4"/>
        <v>855</v>
      </c>
      <c r="N15" s="17">
        <f t="shared" si="5"/>
        <v>0.417073170731707</v>
      </c>
      <c r="O15" s="11">
        <v>100</v>
      </c>
      <c r="P15" s="18">
        <f t="shared" si="6"/>
        <v>0.0487804878048781</v>
      </c>
      <c r="Q15" s="27">
        <f>IFERROR(SUMIF(商务费用支付申请!$A:$A,$A15,商务费用支付申请!$C:$C),"")</f>
        <v>0</v>
      </c>
      <c r="R15" s="28">
        <f t="shared" si="7"/>
        <v>0.417073170731707</v>
      </c>
      <c r="S15" s="29" t="str">
        <f>IFERROR(VLOOKUP(A15,商务费用支付申请!A:B,2,0),"")</f>
        <v/>
      </c>
      <c r="T15">
        <f t="shared" si="8"/>
        <v>-3000</v>
      </c>
    </row>
    <row r="16" spans="1:20">
      <c r="A16" s="11"/>
      <c r="B16" s="11" t="s">
        <v>66</v>
      </c>
      <c r="C16" s="11" t="s">
        <v>23</v>
      </c>
      <c r="D16" s="11" t="s">
        <v>39</v>
      </c>
      <c r="E16" s="11" t="s">
        <v>40</v>
      </c>
      <c r="F16" s="11"/>
      <c r="G16" s="11" t="s">
        <v>67</v>
      </c>
      <c r="H16" s="11" t="s">
        <v>68</v>
      </c>
      <c r="I16" s="11" t="s">
        <v>69</v>
      </c>
      <c r="J16" s="11">
        <v>60</v>
      </c>
      <c r="K16" s="11">
        <v>430</v>
      </c>
      <c r="L16" s="11">
        <v>1500</v>
      </c>
      <c r="M16" s="11">
        <f t="shared" si="4"/>
        <v>1070</v>
      </c>
      <c r="N16" s="17">
        <f t="shared" si="5"/>
        <v>0.713333333333333</v>
      </c>
      <c r="O16" s="11">
        <v>300</v>
      </c>
      <c r="P16" s="18">
        <f t="shared" si="6"/>
        <v>0.2</v>
      </c>
      <c r="Q16" s="27">
        <f>IFERROR(SUMIF(商务费用支付申请!$A:$A,$A16,商务费用支付申请!$C:$C),"")</f>
        <v>0</v>
      </c>
      <c r="R16" s="28">
        <f t="shared" si="7"/>
        <v>0.713333333333333</v>
      </c>
      <c r="S16" s="29" t="str">
        <f>IFERROR(VLOOKUP(A16,商务费用支付申请!A:B,2,0),"")</f>
        <v/>
      </c>
      <c r="T16">
        <f t="shared" si="8"/>
        <v>-18000</v>
      </c>
    </row>
    <row r="17" spans="1:20">
      <c r="A17" s="11"/>
      <c r="B17" s="11" t="s">
        <v>70</v>
      </c>
      <c r="C17" s="11" t="s">
        <v>23</v>
      </c>
      <c r="D17" s="11" t="s">
        <v>71</v>
      </c>
      <c r="E17" s="11" t="s">
        <v>72</v>
      </c>
      <c r="F17" s="11"/>
      <c r="G17" s="11" t="s">
        <v>73</v>
      </c>
      <c r="H17" s="11" t="s">
        <v>74</v>
      </c>
      <c r="I17" s="11" t="s">
        <v>75</v>
      </c>
      <c r="J17" s="11">
        <v>80</v>
      </c>
      <c r="K17" s="11">
        <v>2778</v>
      </c>
      <c r="L17" s="11">
        <v>3407</v>
      </c>
      <c r="M17" s="11">
        <f t="shared" si="4"/>
        <v>629</v>
      </c>
      <c r="N17" s="17">
        <f t="shared" si="5"/>
        <v>0.184619900205459</v>
      </c>
      <c r="O17" s="11">
        <v>100</v>
      </c>
      <c r="P17" s="18">
        <f t="shared" si="6"/>
        <v>0.0293513354857646</v>
      </c>
      <c r="Q17" s="27">
        <f>IFERROR(SUMIF(商务费用支付申请!$A:$A,$A17,商务费用支付申请!$C:$C),"")</f>
        <v>0</v>
      </c>
      <c r="R17" s="28">
        <f t="shared" si="7"/>
        <v>0.184619900205459</v>
      </c>
      <c r="S17" s="29" t="str">
        <f>IFERROR(VLOOKUP(A17,商务费用支付申请!A:B,2,0),"")</f>
        <v/>
      </c>
      <c r="T17">
        <f t="shared" si="8"/>
        <v>-8000</v>
      </c>
    </row>
    <row r="18" spans="1:20">
      <c r="A18" s="11"/>
      <c r="B18" s="11" t="s">
        <v>70</v>
      </c>
      <c r="C18" s="11" t="s">
        <v>23</v>
      </c>
      <c r="D18" s="11" t="s">
        <v>71</v>
      </c>
      <c r="E18" s="11" t="s">
        <v>72</v>
      </c>
      <c r="F18" s="11"/>
      <c r="G18" s="11" t="s">
        <v>73</v>
      </c>
      <c r="H18" s="11" t="s">
        <v>76</v>
      </c>
      <c r="I18" s="11"/>
      <c r="J18" s="11">
        <v>50</v>
      </c>
      <c r="K18" s="11"/>
      <c r="L18" s="11"/>
      <c r="M18" s="11"/>
      <c r="N18" s="17" t="str">
        <f t="shared" si="5"/>
        <v/>
      </c>
      <c r="O18" s="11">
        <v>100</v>
      </c>
      <c r="P18" s="18" t="str">
        <f t="shared" si="6"/>
        <v/>
      </c>
      <c r="Q18" s="27">
        <f>IFERROR(SUMIF(商务费用支付申请!$A:$A,$A18,商务费用支付申请!$C:$C),"")</f>
        <v>0</v>
      </c>
      <c r="R18" s="28" t="str">
        <f t="shared" si="7"/>
        <v/>
      </c>
      <c r="S18" s="29" t="str">
        <f>IFERROR(VLOOKUP(A18,商务费用支付申请!A:B,2,0),"")</f>
        <v/>
      </c>
      <c r="T18">
        <f t="shared" si="8"/>
        <v>-5000</v>
      </c>
    </row>
    <row r="19" spans="1:20">
      <c r="A19" s="11"/>
      <c r="B19" s="11" t="s">
        <v>70</v>
      </c>
      <c r="C19" s="11" t="s">
        <v>23</v>
      </c>
      <c r="D19" s="11" t="s">
        <v>35</v>
      </c>
      <c r="E19" s="11" t="s">
        <v>32</v>
      </c>
      <c r="F19" s="11"/>
      <c r="G19" s="11" t="s">
        <v>73</v>
      </c>
      <c r="H19" s="11" t="s">
        <v>38</v>
      </c>
      <c r="I19" s="11"/>
      <c r="J19" s="11">
        <v>50</v>
      </c>
      <c r="K19" s="11">
        <v>557.52</v>
      </c>
      <c r="L19" s="11">
        <v>2059</v>
      </c>
      <c r="M19" s="11"/>
      <c r="N19" s="17" t="str">
        <f t="shared" si="5"/>
        <v/>
      </c>
      <c r="O19" s="11">
        <v>100</v>
      </c>
      <c r="P19" s="18">
        <f t="shared" si="6"/>
        <v>0.0485672656629432</v>
      </c>
      <c r="Q19" s="27">
        <f>IFERROR(SUMIF(商务费用支付申请!$A:$A,$A19,商务费用支付申请!$C:$C),"")</f>
        <v>0</v>
      </c>
      <c r="R19" s="28" t="str">
        <f t="shared" ref="R19:R38" si="9">IF(AND(($M19*$J19-$Q19)&lt;&gt;0,($L19*$J19)&lt;&gt;0),($M19*$J19-$Q19)/($L19*$J19),"")</f>
        <v/>
      </c>
      <c r="S19" s="29" t="str">
        <f>IFERROR(VLOOKUP(A19,商务费用支付申请!A:B,2,0),"")</f>
        <v/>
      </c>
      <c r="T19">
        <f t="shared" ref="T19:T40" si="10">Q19-O19*J19</f>
        <v>-5000</v>
      </c>
    </row>
    <row r="20" spans="1:20">
      <c r="A20" s="11"/>
      <c r="B20" s="11" t="s">
        <v>70</v>
      </c>
      <c r="C20" s="11" t="s">
        <v>23</v>
      </c>
      <c r="D20" s="11" t="s">
        <v>77</v>
      </c>
      <c r="E20" s="11" t="s">
        <v>78</v>
      </c>
      <c r="F20" s="11"/>
      <c r="G20" s="11" t="s">
        <v>73</v>
      </c>
      <c r="H20" s="11" t="s">
        <v>79</v>
      </c>
      <c r="I20" s="11" t="s">
        <v>80</v>
      </c>
      <c r="J20" s="11">
        <v>31</v>
      </c>
      <c r="K20" s="11">
        <v>1934</v>
      </c>
      <c r="L20" s="11">
        <v>2750</v>
      </c>
      <c r="M20" s="11">
        <v>816</v>
      </c>
      <c r="N20" s="17">
        <f t="shared" si="5"/>
        <v>0.296727272727273</v>
      </c>
      <c r="O20" s="11">
        <v>100</v>
      </c>
      <c r="P20" s="18">
        <f t="shared" si="6"/>
        <v>0.0363636363636364</v>
      </c>
      <c r="Q20" s="27">
        <f>IFERROR(SUMIF(商务费用支付申请!$A:$A,$A20,商务费用支付申请!$C:$C),"")</f>
        <v>0</v>
      </c>
      <c r="R20" s="28">
        <f t="shared" si="9"/>
        <v>0.296727272727273</v>
      </c>
      <c r="S20" s="29" t="str">
        <f>IFERROR(VLOOKUP(A20,商务费用支付申请!A:B,2,0),"")</f>
        <v/>
      </c>
      <c r="T20">
        <f t="shared" si="10"/>
        <v>-3100</v>
      </c>
    </row>
    <row r="21" spans="1:20">
      <c r="A21" s="11"/>
      <c r="B21" s="11" t="s">
        <v>81</v>
      </c>
      <c r="C21" s="11" t="s">
        <v>23</v>
      </c>
      <c r="D21" s="11" t="s">
        <v>39</v>
      </c>
      <c r="E21" s="11" t="s">
        <v>40</v>
      </c>
      <c r="F21" s="11"/>
      <c r="G21" s="11" t="s">
        <v>73</v>
      </c>
      <c r="H21" s="11" t="s">
        <v>82</v>
      </c>
      <c r="I21" s="11" t="s">
        <v>38</v>
      </c>
      <c r="J21" s="11" t="s">
        <v>83</v>
      </c>
      <c r="K21" s="11"/>
      <c r="L21" s="11"/>
      <c r="M21" s="11"/>
      <c r="N21" s="17" t="str">
        <f t="shared" si="5"/>
        <v/>
      </c>
      <c r="O21" s="11"/>
      <c r="P21" s="18" t="str">
        <f t="shared" si="6"/>
        <v/>
      </c>
      <c r="Q21" s="27">
        <f>IFERROR(SUMIF(商务费用支付申请!$A:$A,$A21,商务费用支付申请!$C:$C),"")</f>
        <v>0</v>
      </c>
      <c r="R21" s="28" t="e">
        <f t="shared" si="9"/>
        <v>#VALUE!</v>
      </c>
      <c r="S21" s="29" t="str">
        <f>IFERROR(VLOOKUP(A21,商务费用支付申请!A:B,2,0),"")</f>
        <v/>
      </c>
      <c r="T21" t="e">
        <f t="shared" si="10"/>
        <v>#VALUE!</v>
      </c>
    </row>
    <row r="22" spans="1:20">
      <c r="A22" s="11"/>
      <c r="B22" s="11" t="s">
        <v>81</v>
      </c>
      <c r="C22" s="11" t="s">
        <v>23</v>
      </c>
      <c r="D22" s="11" t="s">
        <v>84</v>
      </c>
      <c r="E22" s="11" t="s">
        <v>85</v>
      </c>
      <c r="F22" s="11"/>
      <c r="G22" s="11" t="s">
        <v>73</v>
      </c>
      <c r="H22" s="11" t="s">
        <v>64</v>
      </c>
      <c r="I22" s="11" t="s">
        <v>65</v>
      </c>
      <c r="J22" s="11">
        <v>20</v>
      </c>
      <c r="K22" s="11">
        <v>1195</v>
      </c>
      <c r="L22" s="11">
        <v>2050</v>
      </c>
      <c r="M22" s="11">
        <f>L22-K22</f>
        <v>855</v>
      </c>
      <c r="N22" s="17"/>
      <c r="O22" s="11">
        <v>100</v>
      </c>
      <c r="P22" s="18">
        <f t="shared" si="6"/>
        <v>0.0487804878048781</v>
      </c>
      <c r="Q22" s="27">
        <f>IFERROR(SUMIF(商务费用支付申请!$A:$A,$A22,商务费用支付申请!$C:$C),"")</f>
        <v>0</v>
      </c>
      <c r="R22" s="28">
        <f t="shared" si="9"/>
        <v>0.417073170731707</v>
      </c>
      <c r="S22" s="29" t="str">
        <f>IFERROR(VLOOKUP(A22,商务费用支付申请!A:B,2,0),"")</f>
        <v/>
      </c>
      <c r="T22">
        <f t="shared" si="10"/>
        <v>-2000</v>
      </c>
    </row>
    <row r="23" spans="1:20">
      <c r="A23" s="11"/>
      <c r="B23" s="11" t="s">
        <v>81</v>
      </c>
      <c r="C23" s="11" t="s">
        <v>23</v>
      </c>
      <c r="D23" s="11" t="s">
        <v>86</v>
      </c>
      <c r="E23" s="11" t="s">
        <v>87</v>
      </c>
      <c r="F23" s="11"/>
      <c r="G23" s="11" t="s">
        <v>73</v>
      </c>
      <c r="H23" s="11" t="s">
        <v>88</v>
      </c>
      <c r="I23" s="11" t="s">
        <v>65</v>
      </c>
      <c r="J23" s="11">
        <v>10</v>
      </c>
      <c r="K23" s="11">
        <v>1195</v>
      </c>
      <c r="L23" s="11">
        <v>1946</v>
      </c>
      <c r="M23" s="11">
        <v>751</v>
      </c>
      <c r="N23" s="17">
        <f t="shared" si="5"/>
        <v>0.385919835560123</v>
      </c>
      <c r="O23" s="11">
        <v>100</v>
      </c>
      <c r="P23" s="18">
        <f t="shared" si="6"/>
        <v>0.0513874614594039</v>
      </c>
      <c r="Q23" s="27">
        <f>IFERROR(SUMIF(商务费用支付申请!$A:$A,$A23,商务费用支付申请!$C:$C),"")</f>
        <v>0</v>
      </c>
      <c r="R23" s="28">
        <f t="shared" si="9"/>
        <v>0.385919835560123</v>
      </c>
      <c r="S23" s="29" t="str">
        <f>IFERROR(VLOOKUP(A23,商务费用支付申请!A:B,2,0),"")</f>
        <v/>
      </c>
      <c r="T23">
        <f t="shared" si="10"/>
        <v>-1000</v>
      </c>
    </row>
    <row r="24" spans="1:20">
      <c r="A24" s="11"/>
      <c r="B24" s="11" t="s">
        <v>89</v>
      </c>
      <c r="C24" s="11" t="s">
        <v>23</v>
      </c>
      <c r="D24" s="11" t="s">
        <v>49</v>
      </c>
      <c r="E24" s="11" t="s">
        <v>45</v>
      </c>
      <c r="F24" s="11"/>
      <c r="G24" s="11" t="s">
        <v>90</v>
      </c>
      <c r="H24" s="11" t="s">
        <v>91</v>
      </c>
      <c r="I24" s="11" t="s">
        <v>92</v>
      </c>
      <c r="J24" s="11">
        <v>10</v>
      </c>
      <c r="K24" s="11"/>
      <c r="L24" s="11"/>
      <c r="M24" s="11"/>
      <c r="N24" s="17" t="str">
        <f t="shared" ref="N24:N37" si="11">IF(AND($M24&lt;&gt;0,$L24&lt;&gt;0),$M24/$L24,"")</f>
        <v/>
      </c>
      <c r="O24" s="11">
        <v>100</v>
      </c>
      <c r="P24" s="18" t="str">
        <f t="shared" si="6"/>
        <v/>
      </c>
      <c r="Q24" s="27">
        <f>IFERROR(SUMIF(商务费用支付申请!$A:$A,$A24,商务费用支付申请!$C:$C),"")</f>
        <v>0</v>
      </c>
      <c r="R24" s="28" t="str">
        <f t="shared" si="9"/>
        <v/>
      </c>
      <c r="S24" s="29" t="str">
        <f>IFERROR(VLOOKUP(A24,商务费用支付申请!A:B,2,0),"")</f>
        <v/>
      </c>
      <c r="T24">
        <f t="shared" si="10"/>
        <v>-1000</v>
      </c>
    </row>
    <row r="25" spans="1:20">
      <c r="A25" s="11"/>
      <c r="B25" s="11" t="s">
        <v>89</v>
      </c>
      <c r="C25" s="11" t="s">
        <v>23</v>
      </c>
      <c r="D25" s="11" t="s">
        <v>49</v>
      </c>
      <c r="E25" s="11" t="s">
        <v>45</v>
      </c>
      <c r="F25" s="11"/>
      <c r="G25" s="11" t="s">
        <v>90</v>
      </c>
      <c r="H25" s="11" t="s">
        <v>93</v>
      </c>
      <c r="I25" s="11" t="s">
        <v>76</v>
      </c>
      <c r="J25" s="11">
        <v>5</v>
      </c>
      <c r="K25" s="11">
        <v>3584</v>
      </c>
      <c r="L25" s="11">
        <v>5523</v>
      </c>
      <c r="M25" s="11">
        <v>1939</v>
      </c>
      <c r="N25" s="17">
        <f t="shared" si="11"/>
        <v>0.351077313054499</v>
      </c>
      <c r="O25" s="11">
        <v>100</v>
      </c>
      <c r="P25" s="18">
        <f t="shared" si="6"/>
        <v>0.0181061017562919</v>
      </c>
      <c r="Q25" s="27">
        <f>IFERROR(SUMIF(商务费用支付申请!$A:$A,$A25,商务费用支付申请!$C:$C),"")</f>
        <v>0</v>
      </c>
      <c r="R25" s="28">
        <f t="shared" si="9"/>
        <v>0.351077313054499</v>
      </c>
      <c r="S25" s="29" t="str">
        <f>IFERROR(VLOOKUP(A25,商务费用支付申请!A:B,2,0),"")</f>
        <v/>
      </c>
      <c r="T25">
        <f t="shared" si="10"/>
        <v>-500</v>
      </c>
    </row>
    <row r="26" spans="1:20">
      <c r="A26" s="11"/>
      <c r="B26" s="11" t="s">
        <v>89</v>
      </c>
      <c r="C26" s="11" t="s">
        <v>23</v>
      </c>
      <c r="D26" s="11" t="s">
        <v>49</v>
      </c>
      <c r="E26" s="11" t="s">
        <v>45</v>
      </c>
      <c r="F26" s="11"/>
      <c r="G26" s="11" t="s">
        <v>90</v>
      </c>
      <c r="H26" s="11" t="s">
        <v>94</v>
      </c>
      <c r="I26" s="11" t="s">
        <v>95</v>
      </c>
      <c r="J26" s="11">
        <v>10</v>
      </c>
      <c r="K26" s="11"/>
      <c r="L26" s="11"/>
      <c r="M26" s="11"/>
      <c r="N26" s="17" t="str">
        <f t="shared" si="11"/>
        <v/>
      </c>
      <c r="O26" s="11">
        <v>100</v>
      </c>
      <c r="P26" s="18" t="str">
        <f t="shared" si="6"/>
        <v/>
      </c>
      <c r="Q26" s="27">
        <f>IFERROR(SUMIF(商务费用支付申请!$A:$A,$A26,商务费用支付申请!$C:$C),"")</f>
        <v>0</v>
      </c>
      <c r="R26" s="28" t="str">
        <f t="shared" si="9"/>
        <v/>
      </c>
      <c r="S26" s="29" t="str">
        <f>IFERROR(VLOOKUP(A26,商务费用支付申请!A:B,2,0),"")</f>
        <v/>
      </c>
      <c r="T26">
        <f t="shared" si="10"/>
        <v>-1000</v>
      </c>
    </row>
    <row r="27" spans="1:20">
      <c r="A27" s="11"/>
      <c r="B27" s="11" t="s">
        <v>89</v>
      </c>
      <c r="C27" s="11" t="s">
        <v>23</v>
      </c>
      <c r="D27" s="11" t="s">
        <v>49</v>
      </c>
      <c r="E27" s="11" t="s">
        <v>45</v>
      </c>
      <c r="F27" s="11"/>
      <c r="G27" s="11" t="s">
        <v>90</v>
      </c>
      <c r="H27" s="11" t="s">
        <v>96</v>
      </c>
      <c r="I27" s="11" t="s">
        <v>97</v>
      </c>
      <c r="J27" s="11">
        <v>25</v>
      </c>
      <c r="K27" s="11"/>
      <c r="L27" s="11"/>
      <c r="M27" s="11"/>
      <c r="N27" s="17" t="str">
        <f t="shared" si="11"/>
        <v/>
      </c>
      <c r="O27" s="11">
        <v>100</v>
      </c>
      <c r="P27" s="18" t="str">
        <f t="shared" ref="P27:P36" si="12">IF(AND($O27&lt;&gt;0,$L27&lt;&gt;0),$O27/$L27,"")</f>
        <v/>
      </c>
      <c r="Q27" s="27">
        <f>IFERROR(SUMIF(商务费用支付申请!$A:$A,$A27,商务费用支付申请!$C:$C),"")</f>
        <v>0</v>
      </c>
      <c r="R27" s="28" t="str">
        <f t="shared" si="9"/>
        <v/>
      </c>
      <c r="S27" s="29" t="str">
        <f>IFERROR(VLOOKUP(A27,商务费用支付申请!A:B,2,0),"")</f>
        <v/>
      </c>
      <c r="T27">
        <f t="shared" si="10"/>
        <v>-2500</v>
      </c>
    </row>
    <row r="28" ht="28" spans="1:20">
      <c r="A28" s="11"/>
      <c r="B28" s="11" t="s">
        <v>98</v>
      </c>
      <c r="C28" s="11" t="s">
        <v>23</v>
      </c>
      <c r="D28" s="10" t="s">
        <v>99</v>
      </c>
      <c r="E28" s="11" t="s">
        <v>100</v>
      </c>
      <c r="F28" s="11"/>
      <c r="G28" s="11" t="s">
        <v>101</v>
      </c>
      <c r="H28" s="11" t="s">
        <v>102</v>
      </c>
      <c r="I28" s="11" t="s">
        <v>103</v>
      </c>
      <c r="J28" s="11" t="s">
        <v>104</v>
      </c>
      <c r="K28" s="11">
        <v>1195</v>
      </c>
      <c r="L28" s="11">
        <v>2309</v>
      </c>
      <c r="M28" s="11">
        <v>1114</v>
      </c>
      <c r="N28" s="17">
        <f t="shared" si="11"/>
        <v>0.482459939367692</v>
      </c>
      <c r="O28" s="11">
        <v>350</v>
      </c>
      <c r="P28" s="18">
        <f t="shared" si="12"/>
        <v>0.151580770896492</v>
      </c>
      <c r="Q28" s="27">
        <f>IFERROR(SUMIF(商务费用支付申请!$A:$A,$A28,商务费用支付申请!$C:$C),"")</f>
        <v>0</v>
      </c>
      <c r="R28" s="28" t="e">
        <f t="shared" si="9"/>
        <v>#VALUE!</v>
      </c>
      <c r="S28" s="29" t="str">
        <f>IFERROR(VLOOKUP(A28,商务费用支付申请!A:B,2,0),"")</f>
        <v/>
      </c>
      <c r="T28" t="e">
        <f t="shared" si="10"/>
        <v>#VALUE!</v>
      </c>
    </row>
    <row r="29" ht="70" spans="1:20">
      <c r="A29" s="11"/>
      <c r="B29" s="11" t="s">
        <v>98</v>
      </c>
      <c r="C29" s="11" t="s">
        <v>23</v>
      </c>
      <c r="D29" s="11" t="s">
        <v>105</v>
      </c>
      <c r="E29" s="11" t="s">
        <v>85</v>
      </c>
      <c r="F29" s="11"/>
      <c r="G29" s="11" t="s">
        <v>106</v>
      </c>
      <c r="H29" s="11" t="s">
        <v>29</v>
      </c>
      <c r="I29" s="10" t="s">
        <v>34</v>
      </c>
      <c r="J29" s="11">
        <v>150</v>
      </c>
      <c r="K29" s="11">
        <v>3000</v>
      </c>
      <c r="L29" s="11">
        <v>4051</v>
      </c>
      <c r="M29" s="11">
        <f t="shared" ref="M29:M33" si="13">L29-K29</f>
        <v>1051</v>
      </c>
      <c r="N29" s="17">
        <f t="shared" si="11"/>
        <v>0.259442113058504</v>
      </c>
      <c r="O29" s="11">
        <v>100</v>
      </c>
      <c r="P29" s="18">
        <f t="shared" si="12"/>
        <v>0.0246852628980499</v>
      </c>
      <c r="Q29" s="27">
        <f>IFERROR(SUMIF(商务费用支付申请!$A:$A,$A29,商务费用支付申请!$C:$C),"")</f>
        <v>0</v>
      </c>
      <c r="R29" s="28">
        <f t="shared" si="9"/>
        <v>0.259442113058504</v>
      </c>
      <c r="S29" s="29" t="str">
        <f>IFERROR(VLOOKUP(A29,商务费用支付申请!A:B,2,0),"")</f>
        <v/>
      </c>
      <c r="T29">
        <f t="shared" si="10"/>
        <v>-15000</v>
      </c>
    </row>
    <row r="30" spans="1:20">
      <c r="A30" s="11"/>
      <c r="B30" s="11" t="s">
        <v>98</v>
      </c>
      <c r="C30" s="11" t="s">
        <v>23</v>
      </c>
      <c r="D30" s="11" t="s">
        <v>44</v>
      </c>
      <c r="E30" s="11" t="s">
        <v>107</v>
      </c>
      <c r="F30" s="11"/>
      <c r="G30" s="11" t="s">
        <v>106</v>
      </c>
      <c r="H30" s="11" t="s">
        <v>108</v>
      </c>
      <c r="I30" s="11" t="s">
        <v>108</v>
      </c>
      <c r="J30" s="11">
        <v>5</v>
      </c>
      <c r="K30" s="11"/>
      <c r="L30" s="11"/>
      <c r="M30" s="11"/>
      <c r="N30" s="17" t="str">
        <f t="shared" si="11"/>
        <v/>
      </c>
      <c r="O30" s="11">
        <v>100</v>
      </c>
      <c r="P30" s="18" t="str">
        <f t="shared" si="12"/>
        <v/>
      </c>
      <c r="Q30" s="27">
        <f>IFERROR(SUMIF(商务费用支付申请!$A:$A,$A30,商务费用支付申请!$C:$C),"")</f>
        <v>0</v>
      </c>
      <c r="R30" s="28" t="str">
        <f t="shared" si="9"/>
        <v/>
      </c>
      <c r="S30" s="29" t="str">
        <f>IFERROR(VLOOKUP(A30,商务费用支付申请!A:B,2,0),"")</f>
        <v/>
      </c>
      <c r="T30">
        <f t="shared" si="10"/>
        <v>-500</v>
      </c>
    </row>
    <row r="31" spans="1:20">
      <c r="A31" s="11"/>
      <c r="B31" s="11" t="s">
        <v>98</v>
      </c>
      <c r="C31" s="11" t="s">
        <v>23</v>
      </c>
      <c r="D31" s="11" t="s">
        <v>44</v>
      </c>
      <c r="E31" s="11" t="s">
        <v>107</v>
      </c>
      <c r="F31" s="11"/>
      <c r="G31" s="11" t="s">
        <v>106</v>
      </c>
      <c r="H31" s="11" t="s">
        <v>109</v>
      </c>
      <c r="I31" s="11" t="s">
        <v>110</v>
      </c>
      <c r="J31" s="11">
        <v>10</v>
      </c>
      <c r="K31" s="11">
        <v>557.52</v>
      </c>
      <c r="L31" s="11">
        <v>2059</v>
      </c>
      <c r="M31" s="11">
        <f t="shared" si="13"/>
        <v>1501.48</v>
      </c>
      <c r="N31" s="17">
        <f t="shared" si="11"/>
        <v>0.729227780475959</v>
      </c>
      <c r="O31" s="11">
        <v>100</v>
      </c>
      <c r="P31" s="18">
        <f t="shared" si="12"/>
        <v>0.0485672656629432</v>
      </c>
      <c r="Q31" s="27">
        <f>IFERROR(SUMIF(商务费用支付申请!$A:$A,$A31,商务费用支付申请!$C:$C),"")</f>
        <v>0</v>
      </c>
      <c r="R31" s="28">
        <f t="shared" si="9"/>
        <v>0.729227780475959</v>
      </c>
      <c r="S31" s="29" t="str">
        <f>IFERROR(VLOOKUP(A31,商务费用支付申请!A:B,2,0),"")</f>
        <v/>
      </c>
      <c r="T31">
        <f t="shared" si="10"/>
        <v>-1000</v>
      </c>
    </row>
    <row r="32" spans="1:20">
      <c r="A32" s="11"/>
      <c r="B32" s="11" t="s">
        <v>98</v>
      </c>
      <c r="C32" s="11" t="s">
        <v>23</v>
      </c>
      <c r="D32" s="11" t="s">
        <v>44</v>
      </c>
      <c r="E32" s="11" t="s">
        <v>107</v>
      </c>
      <c r="F32" s="11"/>
      <c r="G32" s="11" t="s">
        <v>106</v>
      </c>
      <c r="H32" s="11" t="s">
        <v>38</v>
      </c>
      <c r="I32" s="11" t="s">
        <v>38</v>
      </c>
      <c r="J32" s="11">
        <v>20</v>
      </c>
      <c r="K32" s="11">
        <v>557.52</v>
      </c>
      <c r="L32" s="11">
        <v>2059</v>
      </c>
      <c r="M32" s="11">
        <f t="shared" si="13"/>
        <v>1501.48</v>
      </c>
      <c r="N32" s="17">
        <f t="shared" si="11"/>
        <v>0.729227780475959</v>
      </c>
      <c r="O32" s="11">
        <v>100</v>
      </c>
      <c r="P32" s="18">
        <f t="shared" si="12"/>
        <v>0.0485672656629432</v>
      </c>
      <c r="Q32" s="27">
        <f>IFERROR(SUMIF(商务费用支付申请!$A:$A,$A32,商务费用支付申请!$C:$C),"")</f>
        <v>0</v>
      </c>
      <c r="R32" s="28">
        <f t="shared" si="9"/>
        <v>0.729227780475959</v>
      </c>
      <c r="S32" s="29" t="str">
        <f>IFERROR(VLOOKUP(A32,商务费用支付申请!A:B,2,0),"")</f>
        <v/>
      </c>
      <c r="T32">
        <f t="shared" si="10"/>
        <v>-2000</v>
      </c>
    </row>
    <row r="33" ht="28" spans="1:20">
      <c r="A33" s="11"/>
      <c r="B33" s="11"/>
      <c r="C33" s="11"/>
      <c r="D33" s="10" t="s">
        <v>111</v>
      </c>
      <c r="E33" s="11" t="s">
        <v>61</v>
      </c>
      <c r="F33" s="11"/>
      <c r="G33" s="11" t="s">
        <v>106</v>
      </c>
      <c r="H33" s="11" t="s">
        <v>38</v>
      </c>
      <c r="I33" s="11" t="s">
        <v>38</v>
      </c>
      <c r="J33" s="11">
        <v>20</v>
      </c>
      <c r="K33" s="11">
        <v>557.52</v>
      </c>
      <c r="L33" s="11">
        <v>2059</v>
      </c>
      <c r="M33" s="11">
        <f t="shared" si="13"/>
        <v>1501.48</v>
      </c>
      <c r="N33" s="17">
        <f t="shared" si="11"/>
        <v>0.729227780475959</v>
      </c>
      <c r="O33" s="11">
        <v>100</v>
      </c>
      <c r="P33" s="18">
        <f t="shared" si="12"/>
        <v>0.0485672656629432</v>
      </c>
      <c r="Q33" s="27">
        <f>IFERROR(SUMIF(商务费用支付申请!$A:$A,$A33,商务费用支付申请!$C:$C),"")</f>
        <v>0</v>
      </c>
      <c r="R33" s="28">
        <f t="shared" si="9"/>
        <v>0.729227780475959</v>
      </c>
      <c r="S33" s="29" t="str">
        <f>IFERROR(VLOOKUP(A33,商务费用支付申请!A:B,2,0),"")</f>
        <v/>
      </c>
      <c r="T33">
        <f t="shared" si="10"/>
        <v>-2000</v>
      </c>
    </row>
    <row r="34" spans="1:20">
      <c r="A34" s="11"/>
      <c r="B34" s="11" t="s">
        <v>98</v>
      </c>
      <c r="C34" s="11" t="s">
        <v>23</v>
      </c>
      <c r="D34" s="11" t="s">
        <v>112</v>
      </c>
      <c r="E34" s="11" t="s">
        <v>113</v>
      </c>
      <c r="F34" s="11"/>
      <c r="G34" s="11" t="s">
        <v>106</v>
      </c>
      <c r="H34" s="11" t="s">
        <v>114</v>
      </c>
      <c r="I34" s="11" t="s">
        <v>115</v>
      </c>
      <c r="J34" s="11">
        <v>100</v>
      </c>
      <c r="K34" s="11">
        <v>125</v>
      </c>
      <c r="L34" s="11">
        <v>278</v>
      </c>
      <c r="M34" s="11">
        <v>153</v>
      </c>
      <c r="N34" s="17">
        <f t="shared" si="11"/>
        <v>0.550359712230216</v>
      </c>
      <c r="O34" s="11">
        <v>50</v>
      </c>
      <c r="P34" s="18">
        <f t="shared" si="12"/>
        <v>0.179856115107914</v>
      </c>
      <c r="Q34" s="27">
        <f>IFERROR(SUMIF(商务费用支付申请!$A:$A,$A34,商务费用支付申请!$C:$C),"")</f>
        <v>0</v>
      </c>
      <c r="R34" s="28">
        <f t="shared" si="9"/>
        <v>0.550359712230216</v>
      </c>
      <c r="S34" s="29" t="str">
        <f>IFERROR(VLOOKUP(A34,商务费用支付申请!A:B,2,0),"")</f>
        <v/>
      </c>
      <c r="T34">
        <f t="shared" si="10"/>
        <v>-5000</v>
      </c>
    </row>
    <row r="35" spans="1:20">
      <c r="A35" s="11"/>
      <c r="B35" s="11" t="s">
        <v>116</v>
      </c>
      <c r="C35" s="11" t="s">
        <v>23</v>
      </c>
      <c r="D35" s="11" t="s">
        <v>49</v>
      </c>
      <c r="E35" s="11" t="s">
        <v>45</v>
      </c>
      <c r="F35" s="11"/>
      <c r="G35" s="11" t="s">
        <v>90</v>
      </c>
      <c r="H35" s="11" t="s">
        <v>93</v>
      </c>
      <c r="I35" s="11" t="s">
        <v>76</v>
      </c>
      <c r="J35" s="11">
        <v>10</v>
      </c>
      <c r="K35" s="11">
        <v>3584</v>
      </c>
      <c r="L35" s="11">
        <v>5523</v>
      </c>
      <c r="M35" s="11">
        <v>1939</v>
      </c>
      <c r="N35" s="17">
        <f t="shared" si="11"/>
        <v>0.351077313054499</v>
      </c>
      <c r="O35" s="11">
        <v>100</v>
      </c>
      <c r="P35" s="18">
        <f t="shared" si="12"/>
        <v>0.0181061017562919</v>
      </c>
      <c r="Q35" s="27">
        <f>IFERROR(SUMIF(商务费用支付申请!$A:$A,$A35,商务费用支付申请!$C:$C),"")</f>
        <v>0</v>
      </c>
      <c r="R35" s="28">
        <f t="shared" si="9"/>
        <v>0.351077313054499</v>
      </c>
      <c r="S35" s="29" t="str">
        <f>IFERROR(VLOOKUP(A35,商务费用支付申请!A:B,2,0),"")</f>
        <v/>
      </c>
      <c r="T35">
        <f t="shared" si="10"/>
        <v>-1000</v>
      </c>
    </row>
    <row r="36" spans="1:20">
      <c r="A36" s="11"/>
      <c r="B36" s="11" t="s">
        <v>116</v>
      </c>
      <c r="C36" s="11" t="s">
        <v>23</v>
      </c>
      <c r="D36" s="11" t="s">
        <v>35</v>
      </c>
      <c r="E36" s="11" t="s">
        <v>85</v>
      </c>
      <c r="F36" s="11"/>
      <c r="G36" s="11" t="s">
        <v>106</v>
      </c>
      <c r="H36" s="11" t="s">
        <v>117</v>
      </c>
      <c r="I36" s="11" t="s">
        <v>118</v>
      </c>
      <c r="J36" s="11">
        <v>15</v>
      </c>
      <c r="K36" s="11">
        <v>710</v>
      </c>
      <c r="L36" s="11">
        <v>1693</v>
      </c>
      <c r="M36" s="11">
        <v>983</v>
      </c>
      <c r="N36" s="17">
        <f t="shared" si="11"/>
        <v>0.580626107501477</v>
      </c>
      <c r="O36" s="11">
        <v>100</v>
      </c>
      <c r="P36" s="18">
        <f t="shared" si="12"/>
        <v>0.0590667454223272</v>
      </c>
      <c r="Q36" s="27">
        <f>IFERROR(SUMIF(商务费用支付申请!$A:$A,$A36,商务费用支付申请!$C:$C),"")</f>
        <v>0</v>
      </c>
      <c r="R36" s="28">
        <f t="shared" si="9"/>
        <v>0.580626107501477</v>
      </c>
      <c r="S36" s="29"/>
      <c r="T36">
        <f t="shared" si="10"/>
        <v>-1500</v>
      </c>
    </row>
    <row r="37" spans="1:20">
      <c r="A37" s="11"/>
      <c r="B37" s="11" t="s">
        <v>119</v>
      </c>
      <c r="C37" s="11" t="s">
        <v>23</v>
      </c>
      <c r="D37" s="11" t="s">
        <v>120</v>
      </c>
      <c r="E37" s="11" t="s">
        <v>58</v>
      </c>
      <c r="F37" s="11"/>
      <c r="G37" s="11" t="s">
        <v>121</v>
      </c>
      <c r="H37" s="11" t="s">
        <v>88</v>
      </c>
      <c r="I37" s="11" t="s">
        <v>65</v>
      </c>
      <c r="J37" s="11">
        <v>15</v>
      </c>
      <c r="K37" s="11">
        <v>1195</v>
      </c>
      <c r="L37" s="11">
        <v>1946</v>
      </c>
      <c r="M37" s="11">
        <v>751</v>
      </c>
      <c r="N37" s="17">
        <f t="shared" si="11"/>
        <v>0.385919835560123</v>
      </c>
      <c r="O37" s="11">
        <v>100</v>
      </c>
      <c r="P37" s="18">
        <f>IF(AND($O37&lt;&gt;0,$L37&lt;&gt;0),$O37/$L37,"")</f>
        <v>0.0513874614594039</v>
      </c>
      <c r="Q37" s="27">
        <f>IFERROR(SUMIF(商务费用支付申请!$A:$A,$A37,商务费用支付申请!$C:$C),"")</f>
        <v>0</v>
      </c>
      <c r="R37" s="28">
        <f t="shared" si="9"/>
        <v>0.385919835560123</v>
      </c>
      <c r="S37" s="29"/>
      <c r="T37">
        <f t="shared" si="10"/>
        <v>-1500</v>
      </c>
    </row>
    <row r="38" spans="1:2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7"/>
      <c r="O38" s="11"/>
      <c r="P38" s="20"/>
      <c r="Q38" s="27">
        <f>IFERROR(SUMIF(商务费用支付申请!$A:$A,$A38,商务费用支付申请!$C:$C),"")</f>
        <v>0</v>
      </c>
      <c r="R38" s="28" t="str">
        <f t="shared" si="9"/>
        <v/>
      </c>
      <c r="S38" s="29"/>
      <c r="T38">
        <f t="shared" si="10"/>
        <v>0</v>
      </c>
    </row>
    <row r="39" spans="1:2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7"/>
      <c r="O39" s="11"/>
      <c r="P39" s="20"/>
      <c r="Q39" s="27">
        <f>IFERROR(SUMIF(商务费用支付申请!$A:$A,$A39,商务费用支付申请!$C:$C),"")</f>
        <v>0</v>
      </c>
      <c r="R39" s="31"/>
      <c r="S39" s="29"/>
      <c r="T39">
        <f t="shared" si="10"/>
        <v>0</v>
      </c>
    </row>
    <row r="40" spans="1:2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7"/>
      <c r="O40" s="11"/>
      <c r="P40" s="20"/>
      <c r="Q40" s="27">
        <f>IFERROR(SUMIF(商务费用支付申请!$A:$A,$A40,商务费用支付申请!$C:$C),"")</f>
        <v>0</v>
      </c>
      <c r="R40" s="31"/>
      <c r="S40" s="29"/>
      <c r="T40">
        <f t="shared" si="10"/>
        <v>0</v>
      </c>
    </row>
    <row r="41" spans="1:19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7"/>
      <c r="O41" s="11"/>
      <c r="P41" s="20"/>
      <c r="Q41" s="27"/>
      <c r="R41" s="32"/>
      <c r="S41" s="29"/>
    </row>
    <row r="42" spans="1:19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7"/>
      <c r="O42" s="11"/>
      <c r="P42" s="20"/>
      <c r="Q42" s="27"/>
      <c r="R42" s="32"/>
      <c r="S42" s="29"/>
    </row>
    <row r="43" spans="1:19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7"/>
      <c r="O43" s="11"/>
      <c r="P43" s="20"/>
      <c r="Q43" s="27"/>
      <c r="R43" s="32"/>
      <c r="S43" s="29"/>
    </row>
  </sheetData>
  <mergeCells count="2">
    <mergeCell ref="A1:P2"/>
    <mergeCell ref="Q1:S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C2" sqref="C2"/>
    </sheetView>
  </sheetViews>
  <sheetFormatPr defaultColWidth="9" defaultRowHeight="14" outlineLevelRow="2" outlineLevelCol="2"/>
  <cols>
    <col min="1" max="1" width="12" customWidth="1"/>
    <col min="2" max="2" width="15.75" customWidth="1"/>
    <col min="3" max="3" width="15.25" customWidth="1"/>
    <col min="4" max="4" width="12.75" customWidth="1"/>
  </cols>
  <sheetData>
    <row r="1" spans="1:3">
      <c r="A1" t="s">
        <v>2</v>
      </c>
      <c r="B1" t="s">
        <v>20</v>
      </c>
      <c r="C1" t="s">
        <v>122</v>
      </c>
    </row>
    <row r="2" spans="1:3">
      <c r="A2">
        <v>230501</v>
      </c>
      <c r="B2" t="s">
        <v>123</v>
      </c>
      <c r="C2" s="1">
        <v>10000</v>
      </c>
    </row>
    <row r="3" spans="2:2">
      <c r="B3" s="2">
        <v>5910125109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Н</cp:lastModifiedBy>
  <dcterms:created xsi:type="dcterms:W3CDTF">2023-05-15T16:12:00Z</dcterms:created>
  <dcterms:modified xsi:type="dcterms:W3CDTF">2023-10-30T05:36:58Z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994EEF8A2CE04185BFC0A207B058A453_13</vt:lpwstr>
  </property>
  <property fmtid="{D5CDD505-2E9C-101B-9397-08002B2CF9AE}" pid="3" name="KSOProductBuildVer">
    <vt:lpwstr>2052-12.1.0.15712</vt:lpwstr>
  </property>
</Properties>
</file>