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商务费用报备申请单" sheetId="1" r:id="rId1"/>
    <sheet name="商务费用支付申请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Q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<sst xmlns="http://schemas.openxmlformats.org/spreadsheetml/2006/main" count="180" uniqueCount="89">
  <si>
    <t>商务费用报备申请单</t>
  </si>
  <si>
    <t>实际支付</t>
  </si>
  <si>
    <t>报备编号</t>
  </si>
  <si>
    <t>项目报备时间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</si>
  <si>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</si>
  <si>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</si>
  <si>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</si>
  <si>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</si>
  <si>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</si>
  <si>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</si>
  <si>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</si>
  <si>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</si>
  <si>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</si>
  <si>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</si>
  <si>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</si>
  <si>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</si>
  <si>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</si>
  <si>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费用率</t>
  </si>
  <si>
    <t>申请支付商务费用</t>
  </si>
  <si>
    <t>实际毛利率</t>
  </si>
  <si>
    <t>订单号</t>
  </si>
  <si>
    <t>差额</t>
  </si>
  <si>
    <t>2023.5.19</t>
  </si>
  <si>
    <t>洪文泽</t>
  </si>
  <si>
    <t>抚州高压电气</t>
  </si>
  <si>
    <t>康金云</t>
  </si>
  <si>
    <t>预计6月份</t>
  </si>
  <si>
    <t>TSC  TP6830T</t>
  </si>
  <si>
    <t>TSC- TP6830T  300dpi 带剥离回卷</t>
  </si>
  <si>
    <t>骧腾一体机</t>
  </si>
  <si>
    <t>2023.5.22</t>
  </si>
  <si>
    <t>抚州铜线工厂</t>
  </si>
  <si>
    <t>刘琦</t>
  </si>
  <si>
    <t>预计6月底</t>
  </si>
  <si>
    <r>
      <rPr>
        <sz val="9"/>
        <color rgb="FF333333"/>
        <rFont val="Microsoft YaHei"/>
        <charset val="134"/>
      </rPr>
      <t>工控一体机15寸/256G固态硬盘/CPU英特尔i78代8线程主频＞1.9HZ以</t>
    </r>
  </si>
  <si>
    <t>抚州线束工厂</t>
  </si>
  <si>
    <t>7月份</t>
  </si>
  <si>
    <t>TT065-50</t>
  </si>
  <si>
    <t>H100W</t>
  </si>
  <si>
    <t>长沙线束工厂</t>
  </si>
  <si>
    <t>陆思宏</t>
  </si>
  <si>
    <t>宁乡电池工厂</t>
  </si>
  <si>
    <t>邓立勃</t>
  </si>
  <si>
    <t>J20-B</t>
  </si>
  <si>
    <t>海康3013-SR-U</t>
  </si>
  <si>
    <t>电动总成</t>
  </si>
  <si>
    <t>刘涵政</t>
  </si>
  <si>
    <t>2023.3.13</t>
  </si>
  <si>
    <t>王新田</t>
  </si>
  <si>
    <t>MV-FDT911-NR_x0002_U_有线手持式</t>
  </si>
  <si>
    <t>海康7010N</t>
  </si>
  <si>
    <t>2023.12.8</t>
  </si>
  <si>
    <t>高压电气</t>
  </si>
  <si>
    <t>杨越</t>
  </si>
  <si>
    <t>15.6寸/128G固态硬盘/i5-6200UCPU/4G</t>
  </si>
  <si>
    <t>骧腾</t>
  </si>
  <si>
    <t>2023.6.5</t>
  </si>
  <si>
    <t>金霞高压电气</t>
  </si>
  <si>
    <t>卢志春</t>
  </si>
  <si>
    <t>9702PDA</t>
  </si>
  <si>
    <t>IDATA  T1</t>
  </si>
  <si>
    <t>宁乡电动总成</t>
  </si>
  <si>
    <t>王辉</t>
  </si>
  <si>
    <t>MV-FDT911-B-U</t>
  </si>
  <si>
    <t>海康7010无线</t>
  </si>
  <si>
    <t>MV-FDT911-NR-U</t>
  </si>
  <si>
    <t>海康7010有线</t>
  </si>
  <si>
    <t>2023.6.6</t>
  </si>
  <si>
    <t>15.6寸/256G固态硬盘/i5-6200UCPU/8G</t>
  </si>
  <si>
    <t>2023.6.29</t>
  </si>
  <si>
    <t>雨花电动总成</t>
  </si>
  <si>
    <t>准备在内部商场采购</t>
  </si>
  <si>
    <t>骧腾FV20-13读码器</t>
  </si>
  <si>
    <t>海康ID2013</t>
  </si>
  <si>
    <t>看能不能直接在内部商场购买</t>
  </si>
  <si>
    <t>12.1寸全铝电容,I5-11代（1135G7）</t>
  </si>
  <si>
    <t>平田</t>
  </si>
  <si>
    <t>2023.7.5</t>
  </si>
  <si>
    <t>湘潭</t>
  </si>
  <si>
    <t>张雷</t>
  </si>
  <si>
    <t>7月</t>
  </si>
  <si>
    <t>2023.7.10</t>
  </si>
  <si>
    <t>XT/骧腾 对讲机 HT31 430~440MHz 黑色2W 台</t>
  </si>
  <si>
    <t>2023.8.10</t>
  </si>
  <si>
    <t>8月份</t>
  </si>
  <si>
    <t>H391N-C</t>
  </si>
  <si>
    <t>H29C串口版</t>
  </si>
  <si>
    <t>商务费用</t>
  </si>
  <si>
    <t>700025XXX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</si>
</sst>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等线"/>
      <charset val="134"/>
      <scheme val="minor"/>
    </font>
    <font>
      <sz val="9"/>
      <color rgb="FF000000"/>
      <name val="Microsoft YaHei"/>
      <charset val="134"/>
    </font>
    <font>
      <sz val="9"/>
      <color rgb="FF333333"/>
      <name val="Microsoft YaHei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0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0" fillId="2" borderId="0" xfId="0" applyFill="1" applyProtection="1">
      <alignment vertical="center"/>
      <protection hidden="1"/>
    </xf>
    <xf numFmtId="0" fontId="0" fillId="2" borderId="0" xfId="0" applyFill="1">
      <alignment vertical="center"/>
    </xf>
    <xf numFmtId="0" fontId="0" fillId="2" borderId="0" xfId="0" applyFill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58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58" fontId="0" fillId="0" borderId="1" xfId="0" applyNumberFormat="1" applyBorder="1" applyAlignment="1">
      <alignment vertical="top"/>
    </xf>
    <xf numFmtId="0" fontId="0" fillId="0" borderId="1" xfId="0" applyBorder="1" applyAlignment="1" applyProtection="1">
      <alignment horizontal="center" vertical="center"/>
    </xf>
    <xf numFmtId="10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10" fontId="0" fillId="0" borderId="1" xfId="0" applyNumberFormat="1" applyBorder="1" applyProtection="1">
      <alignment vertical="center"/>
    </xf>
    <xf numFmtId="10" fontId="0" fillId="0" borderId="1" xfId="11" applyNumberFormat="1" applyBorder="1" applyProtection="1">
      <alignment vertical="center"/>
    </xf>
    <xf numFmtId="0" fontId="2" fillId="0" borderId="0" xfId="0" applyFont="1" applyAlignment="1">
      <alignment vertical="center" wrapText="1"/>
    </xf>
    <xf numFmtId="10" fontId="0" fillId="0" borderId="1" xfId="11" applyNumberFormat="1" applyBorder="1" applyAlignment="1" applyProtection="1">
      <alignment vertical="center" wrapText="1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 wrapText="1"/>
      <protection hidden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0" fillId="2" borderId="1" xfId="0" applyFill="1" applyBorder="1" applyProtection="1">
      <alignment vertical="center"/>
      <protection hidden="1"/>
    </xf>
    <xf numFmtId="10" fontId="0" fillId="2" borderId="1" xfId="11" applyNumberFormat="1" applyFill="1" applyBorder="1" applyAlignment="1">
      <alignment vertical="center" shrinkToFit="1"/>
    </xf>
    <xf numFmtId="0" fontId="0" fillId="2" borderId="1" xfId="0" applyFill="1" applyBorder="1" applyProtection="1">
      <alignment vertical="center"/>
    </xf>
    <xf numFmtId="10" fontId="0" fillId="2" borderId="1" xfId="11" applyNumberFormat="1" applyFill="1" applyBorder="1" applyAlignment="1">
      <alignment vertical="center" wrapText="1" shrinkToFit="1"/>
    </xf>
    <xf numFmtId="0" fontId="2" fillId="0" borderId="0" xfId="0" applyFont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3"/>
  <sheetViews>
    <sheetView tabSelected="1" topLeftCell="A20" workbookViewId="0">
      <selection activeCell="I26" sqref="I26"/>
    </sheetView>
  </sheetViews>
  <sheetFormatPr defaultColWidth="9" defaultRowHeight="14"/>
  <cols>
    <col min="1" max="1" width="9.75" customWidth="1"/>
    <col min="2" max="2" width="11.9166666666667" customWidth="1"/>
    <col min="3" max="3" width="9.5" customWidth="1"/>
    <col min="4" max="4" width="15" customWidth="1"/>
    <col min="5" max="5" width="11.5833333333333" customWidth="1"/>
    <col min="6" max="6" width="8" customWidth="1"/>
    <col min="7" max="7" width="8.91666666666667" customWidth="1"/>
    <col min="8" max="9" width="15.5833333333333" customWidth="1"/>
    <col min="11" max="11" width="8" customWidth="1"/>
    <col min="14" max="14" width="9.25" style="4" customWidth="1"/>
    <col min="15" max="15" width="8.375" customWidth="1"/>
    <col min="16" max="16" width="11.25" style="5" customWidth="1"/>
    <col min="17" max="17" width="10.875" style="6" customWidth="1"/>
    <col min="18" max="18" width="6.125" style="7" customWidth="1"/>
    <col min="19" max="19" width="14.25" style="8" customWidth="1"/>
    <col min="20" max="20" width="8.875" customWidth="1"/>
  </cols>
  <sheetData>
    <row r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5"/>
      <c r="O1" s="9"/>
      <c r="P1" s="15"/>
      <c r="Q1" s="23" t="s">
        <v>1</v>
      </c>
      <c r="R1" s="24"/>
      <c r="S1" s="25"/>
    </row>
    <row r="2" spans="1:19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5"/>
      <c r="O2" s="9"/>
      <c r="P2" s="15"/>
      <c r="Q2" s="23"/>
      <c r="R2" s="24"/>
      <c r="S2" s="25"/>
    </row>
    <row r="3" s="3" customFormat="1" ht="30" customHeight="1" spans="1:2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6" t="s">
        <v>15</v>
      </c>
      <c r="O3" s="10" t="s">
        <v>16</v>
      </c>
      <c r="P3" s="17" t="s">
        <v>17</v>
      </c>
      <c r="Q3" s="26" t="s">
        <v>18</v>
      </c>
      <c r="R3" s="27" t="s">
        <v>19</v>
      </c>
      <c r="S3" s="28" t="s">
        <v>20</v>
      </c>
      <c r="T3" s="3" t="s">
        <v>21</v>
      </c>
    </row>
    <row r="4" spans="1:19">
      <c r="A4" s="11"/>
      <c r="B4" s="11" t="s">
        <v>22</v>
      </c>
      <c r="C4" s="11" t="s">
        <v>23</v>
      </c>
      <c r="D4" s="11" t="s">
        <v>24</v>
      </c>
      <c r="E4" s="11" t="s">
        <v>25</v>
      </c>
      <c r="F4" s="11"/>
      <c r="G4" s="11" t="s">
        <v>26</v>
      </c>
      <c r="H4" s="11" t="s">
        <v>27</v>
      </c>
      <c r="I4" s="11" t="s">
        <v>28</v>
      </c>
      <c r="J4" s="11">
        <v>20</v>
      </c>
      <c r="K4" s="11">
        <v>5800</v>
      </c>
      <c r="L4" s="11">
        <v>8500</v>
      </c>
      <c r="M4" s="11">
        <f>L4-K4</f>
        <v>2700</v>
      </c>
      <c r="N4" s="18">
        <f>IF(AND($M4&lt;&gt;0,$L4&lt;&gt;0),$M4/$L4,"")</f>
        <v>0.317647058823529</v>
      </c>
      <c r="O4" s="11">
        <v>500</v>
      </c>
      <c r="P4" s="19">
        <f>IF(AND($O4&lt;&gt;0,$L4&lt;&gt;0),$O4/$L4,"")</f>
        <v>0.0588235294117647</v>
      </c>
      <c r="Q4" s="29"/>
      <c r="R4" s="30">
        <f>IF(AND(($M4*$J4-$Q4)&lt;&gt;0,($L4*$J4)&lt;&gt;0),($M4*$J4-$Q4)/($L4*$J4),"")</f>
        <v>0.317647058823529</v>
      </c>
      <c r="S4" s="31"/>
    </row>
    <row r="5" spans="1:19">
      <c r="A5" s="11"/>
      <c r="B5" s="11" t="s">
        <v>22</v>
      </c>
      <c r="C5" s="11" t="s">
        <v>23</v>
      </c>
      <c r="D5" s="11" t="s">
        <v>24</v>
      </c>
      <c r="E5" s="11" t="s">
        <v>25</v>
      </c>
      <c r="F5" s="11"/>
      <c r="G5" s="11" t="s">
        <v>26</v>
      </c>
      <c r="H5" s="11" t="s">
        <v>29</v>
      </c>
      <c r="I5" s="11"/>
      <c r="J5" s="11">
        <v>50</v>
      </c>
      <c r="K5" s="11">
        <v>3550</v>
      </c>
      <c r="L5" s="11">
        <v>4600</v>
      </c>
      <c r="M5" s="11">
        <f>L5-K5</f>
        <v>1050</v>
      </c>
      <c r="N5" s="18">
        <f>IF(AND($M5&lt;&gt;0,$L5&lt;&gt;0),$M5/$L5,"")</f>
        <v>0.228260869565217</v>
      </c>
      <c r="O5" s="11">
        <v>100</v>
      </c>
      <c r="P5" s="19">
        <f>IF(AND($O5&lt;&gt;0,$L5&lt;&gt;0),$O5/$L5,"")</f>
        <v>0.0217391304347826</v>
      </c>
      <c r="Q5" s="29"/>
      <c r="R5" s="30">
        <f>IF(AND(($M5*$J5-$Q5)&lt;&gt;0,($L5*$J5)&lt;&gt;0),($M5*$J5-$Q5)/($L5*$J5),"")</f>
        <v>0.228260869565217</v>
      </c>
      <c r="S5" s="31"/>
    </row>
    <row r="6" ht="52" spans="1:19">
      <c r="A6" s="11"/>
      <c r="B6" s="11" t="s">
        <v>30</v>
      </c>
      <c r="C6" s="11" t="s">
        <v>23</v>
      </c>
      <c r="D6" s="11" t="s">
        <v>31</v>
      </c>
      <c r="E6" s="11" t="s">
        <v>32</v>
      </c>
      <c r="F6" s="11"/>
      <c r="G6" s="11" t="s">
        <v>33</v>
      </c>
      <c r="H6" s="11" t="s">
        <v>29</v>
      </c>
      <c r="I6" s="20" t="s">
        <v>34</v>
      </c>
      <c r="J6" s="11">
        <v>80</v>
      </c>
      <c r="K6" s="11">
        <v>3000</v>
      </c>
      <c r="L6" s="11">
        <v>4051</v>
      </c>
      <c r="M6" s="11">
        <f t="shared" ref="M6:M25" si="0">L6-K6</f>
        <v>1051</v>
      </c>
      <c r="N6" s="18">
        <f t="shared" ref="N6:N14" si="1">IF(AND($M6&lt;&gt;0,$L6&lt;&gt;0),$M6/$L6,"")</f>
        <v>0.259442113058504</v>
      </c>
      <c r="O6" s="11">
        <v>100</v>
      </c>
      <c r="P6" s="19">
        <f t="shared" ref="P6:P19" si="2">IF(AND($O6&lt;&gt;0,$L6&lt;&gt;0),$O6/$L6,"")</f>
        <v>0.0246852628980499</v>
      </c>
      <c r="Q6" s="29"/>
      <c r="R6" s="30">
        <f t="shared" ref="R6:R19" si="3">IF(AND(($M6*$J6-$Q6)&lt;&gt;0,($L6*$J6)&lt;&gt;0),($M6*$J6-$Q6)/($L6*$J6),"")</f>
        <v>0.259442113058504</v>
      </c>
      <c r="S6" s="2"/>
    </row>
    <row r="7" spans="1:19">
      <c r="A7" s="11"/>
      <c r="B7" s="11"/>
      <c r="C7" s="11" t="s">
        <v>23</v>
      </c>
      <c r="D7" s="11" t="s">
        <v>35</v>
      </c>
      <c r="E7" s="11" t="s">
        <v>32</v>
      </c>
      <c r="F7" s="11"/>
      <c r="G7" s="11" t="s">
        <v>36</v>
      </c>
      <c r="H7" s="11" t="s">
        <v>37</v>
      </c>
      <c r="I7" s="11" t="s">
        <v>37</v>
      </c>
      <c r="J7" s="11">
        <v>120</v>
      </c>
      <c r="K7" s="11">
        <v>700</v>
      </c>
      <c r="L7" s="11">
        <v>1290</v>
      </c>
      <c r="M7" s="11">
        <f t="shared" si="0"/>
        <v>590</v>
      </c>
      <c r="N7" s="18">
        <f t="shared" si="1"/>
        <v>0.457364341085271</v>
      </c>
      <c r="O7" s="11">
        <v>100</v>
      </c>
      <c r="P7" s="19">
        <f t="shared" si="2"/>
        <v>0.0775193798449612</v>
      </c>
      <c r="Q7" s="29"/>
      <c r="R7" s="30">
        <f t="shared" si="3"/>
        <v>0.457364341085271</v>
      </c>
      <c r="S7" s="2"/>
    </row>
    <row r="8" spans="1:19">
      <c r="A8" s="11"/>
      <c r="B8" s="11"/>
      <c r="C8" s="11" t="s">
        <v>23</v>
      </c>
      <c r="D8" s="11" t="s">
        <v>35</v>
      </c>
      <c r="E8" s="11" t="s">
        <v>32</v>
      </c>
      <c r="F8" s="11"/>
      <c r="G8" s="11" t="s">
        <v>36</v>
      </c>
      <c r="H8" s="11" t="s">
        <v>38</v>
      </c>
      <c r="I8" s="11" t="s">
        <v>38</v>
      </c>
      <c r="J8" s="11">
        <v>50</v>
      </c>
      <c r="K8" s="11">
        <v>557.52</v>
      </c>
      <c r="L8" s="11">
        <v>2059</v>
      </c>
      <c r="M8" s="11">
        <f t="shared" si="0"/>
        <v>1501.48</v>
      </c>
      <c r="N8" s="18">
        <f t="shared" si="1"/>
        <v>0.729227780475959</v>
      </c>
      <c r="O8" s="11">
        <v>100</v>
      </c>
      <c r="P8" s="19">
        <f t="shared" si="2"/>
        <v>0.0485672656629432</v>
      </c>
      <c r="Q8" s="29"/>
      <c r="R8" s="30">
        <f t="shared" si="3"/>
        <v>0.729227780475959</v>
      </c>
      <c r="S8" s="2"/>
    </row>
    <row r="9" spans="1:20">
      <c r="A9" s="11"/>
      <c r="B9" s="11" t="s">
        <v>22</v>
      </c>
      <c r="C9" s="11" t="s">
        <v>23</v>
      </c>
      <c r="D9" s="11" t="s">
        <v>39</v>
      </c>
      <c r="E9" s="11" t="s">
        <v>40</v>
      </c>
      <c r="F9" s="11"/>
      <c r="G9" s="12">
        <v>45066</v>
      </c>
      <c r="H9" s="11" t="s">
        <v>37</v>
      </c>
      <c r="I9" s="11" t="s">
        <v>37</v>
      </c>
      <c r="J9" s="11">
        <v>120</v>
      </c>
      <c r="K9" s="11">
        <v>700</v>
      </c>
      <c r="L9" s="11">
        <v>1290</v>
      </c>
      <c r="M9" s="11">
        <f t="shared" si="0"/>
        <v>590</v>
      </c>
      <c r="N9" s="18">
        <f t="shared" si="1"/>
        <v>0.457364341085271</v>
      </c>
      <c r="O9" s="11">
        <v>100</v>
      </c>
      <c r="P9" s="19">
        <f t="shared" si="2"/>
        <v>0.0775193798449612</v>
      </c>
      <c r="Q9" s="29">
        <f>IFERROR(SUMIF(商务费用支付申请!$A:$A,$A9,商务费用支付申请!$C:$C),"")</f>
        <v>0</v>
      </c>
      <c r="R9" s="30">
        <f t="shared" si="3"/>
        <v>0.457364341085271</v>
      </c>
      <c r="S9" s="31">
        <v>5910540703</v>
      </c>
      <c r="T9">
        <f t="shared" ref="T9:T19" si="4">Q9-O9*J9</f>
        <v>-12000</v>
      </c>
    </row>
    <row r="10" spans="1:20">
      <c r="A10" s="11"/>
      <c r="B10" s="11" t="s">
        <v>22</v>
      </c>
      <c r="C10" s="11" t="s">
        <v>23</v>
      </c>
      <c r="D10" s="11" t="s">
        <v>41</v>
      </c>
      <c r="E10" s="11" t="s">
        <v>42</v>
      </c>
      <c r="F10" s="11"/>
      <c r="G10" s="11" t="s">
        <v>26</v>
      </c>
      <c r="H10" s="11" t="s">
        <v>43</v>
      </c>
      <c r="I10" s="11" t="s">
        <v>44</v>
      </c>
      <c r="J10" s="11">
        <v>300</v>
      </c>
      <c r="K10" s="11">
        <v>513.27</v>
      </c>
      <c r="L10" s="11">
        <v>1500</v>
      </c>
      <c r="M10" s="11">
        <f t="shared" si="0"/>
        <v>986.73</v>
      </c>
      <c r="N10" s="18">
        <f t="shared" si="1"/>
        <v>0.65782</v>
      </c>
      <c r="O10" s="11">
        <v>300</v>
      </c>
      <c r="P10" s="19">
        <f t="shared" si="2"/>
        <v>0.2</v>
      </c>
      <c r="Q10" s="29">
        <f>IFERROR(SUMIF(商务费用支付申请!$A:$A,$A10,商务费用支付申请!$C:$C),"")</f>
        <v>0</v>
      </c>
      <c r="R10" s="30">
        <f t="shared" si="3"/>
        <v>0.65782</v>
      </c>
      <c r="S10" s="31" t="str">
        <f>IFERROR(VLOOKUP(A10,商务费用支付申请!A:B,2,0),"")</f>
        <v/>
      </c>
      <c r="T10">
        <f t="shared" si="4"/>
        <v>-90000</v>
      </c>
    </row>
    <row r="11" spans="1:20">
      <c r="A11" s="11"/>
      <c r="B11" s="11" t="s">
        <v>22</v>
      </c>
      <c r="C11" s="11" t="s">
        <v>23</v>
      </c>
      <c r="D11" s="11" t="s">
        <v>45</v>
      </c>
      <c r="E11" s="11" t="s">
        <v>46</v>
      </c>
      <c r="F11" s="11"/>
      <c r="G11" s="12" t="s">
        <v>26</v>
      </c>
      <c r="H11" s="11" t="s">
        <v>38</v>
      </c>
      <c r="I11" s="11" t="s">
        <v>38</v>
      </c>
      <c r="J11" s="11">
        <v>30</v>
      </c>
      <c r="K11" s="11">
        <v>557.52</v>
      </c>
      <c r="L11" s="11">
        <v>2059</v>
      </c>
      <c r="M11" s="11">
        <f t="shared" si="0"/>
        <v>1501.48</v>
      </c>
      <c r="N11" s="18">
        <f t="shared" si="1"/>
        <v>0.729227780475959</v>
      </c>
      <c r="O11" s="11">
        <v>100</v>
      </c>
      <c r="P11" s="19">
        <f t="shared" si="2"/>
        <v>0.0485672656629432</v>
      </c>
      <c r="Q11" s="29">
        <f>IFERROR(SUMIF(商务费用支付申请!$A:$A,$A11,商务费用支付申请!$C:$C),"")</f>
        <v>0</v>
      </c>
      <c r="R11" s="30">
        <f t="shared" si="3"/>
        <v>0.729227780475959</v>
      </c>
      <c r="S11" s="31" t="str">
        <f>IFERROR(VLOOKUP(A11,商务费用支付申请!A:B,2,0),"")</f>
        <v/>
      </c>
      <c r="T11">
        <f t="shared" si="4"/>
        <v>-3000</v>
      </c>
    </row>
    <row r="12" ht="28" spans="1:20">
      <c r="A12" s="11"/>
      <c r="B12" s="11" t="s">
        <v>47</v>
      </c>
      <c r="C12" s="11" t="s">
        <v>23</v>
      </c>
      <c r="D12" s="11" t="s">
        <v>45</v>
      </c>
      <c r="E12" s="11" t="s">
        <v>48</v>
      </c>
      <c r="F12" s="11"/>
      <c r="G12" s="11"/>
      <c r="H12" s="10" t="s">
        <v>49</v>
      </c>
      <c r="I12" s="11" t="s">
        <v>50</v>
      </c>
      <c r="J12" s="11">
        <v>20</v>
      </c>
      <c r="K12" s="11">
        <v>1221</v>
      </c>
      <c r="L12" s="11">
        <v>3300</v>
      </c>
      <c r="M12" s="11">
        <f t="shared" si="0"/>
        <v>2079</v>
      </c>
      <c r="N12" s="18">
        <f t="shared" si="1"/>
        <v>0.63</v>
      </c>
      <c r="O12" s="11">
        <v>100</v>
      </c>
      <c r="P12" s="19">
        <f t="shared" si="2"/>
        <v>0.0303030303030303</v>
      </c>
      <c r="Q12" s="29">
        <f>IFERROR(SUMIF(商务费用支付申请!$A:$A,$A12,商务费用支付申请!$C:$C),"")</f>
        <v>0</v>
      </c>
      <c r="R12" s="30">
        <f t="shared" si="3"/>
        <v>0.63</v>
      </c>
      <c r="S12" s="31" t="str">
        <f>IFERROR(VLOOKUP(A12,商务费用支付申请!A:B,2,0),"")</f>
        <v/>
      </c>
      <c r="T12">
        <f t="shared" si="4"/>
        <v>-2000</v>
      </c>
    </row>
    <row r="13" ht="42" spans="1:20">
      <c r="A13" s="11"/>
      <c r="B13" s="11" t="s">
        <v>51</v>
      </c>
      <c r="C13" s="11" t="s">
        <v>23</v>
      </c>
      <c r="D13" s="11" t="s">
        <v>52</v>
      </c>
      <c r="E13" s="11" t="s">
        <v>53</v>
      </c>
      <c r="F13" s="11"/>
      <c r="G13" s="12">
        <v>45260</v>
      </c>
      <c r="H13" s="10" t="s">
        <v>54</v>
      </c>
      <c r="I13" s="11" t="s">
        <v>55</v>
      </c>
      <c r="J13" s="11">
        <v>183</v>
      </c>
      <c r="K13" s="11">
        <v>2300</v>
      </c>
      <c r="L13" s="11">
        <v>4070</v>
      </c>
      <c r="M13" s="11">
        <f t="shared" si="0"/>
        <v>1770</v>
      </c>
      <c r="N13" s="18">
        <f t="shared" si="1"/>
        <v>0.434889434889435</v>
      </c>
      <c r="O13" s="11">
        <v>100</v>
      </c>
      <c r="P13" s="19">
        <f t="shared" si="2"/>
        <v>0.0245700245700246</v>
      </c>
      <c r="Q13" s="29">
        <f>IFERROR(SUMIF(商务费用支付申请!$A:$A,$A13,商务费用支付申请!$C:$C),"")</f>
        <v>0</v>
      </c>
      <c r="R13" s="30">
        <f t="shared" si="3"/>
        <v>0.434889434889435</v>
      </c>
      <c r="S13" s="31">
        <v>7200008187</v>
      </c>
      <c r="T13">
        <f t="shared" si="4"/>
        <v>-18300</v>
      </c>
    </row>
    <row r="14" spans="1:20">
      <c r="A14" s="11"/>
      <c r="B14" s="11" t="s">
        <v>56</v>
      </c>
      <c r="C14" s="11" t="s">
        <v>23</v>
      </c>
      <c r="D14" s="11" t="s">
        <v>57</v>
      </c>
      <c r="E14" s="11" t="s">
        <v>58</v>
      </c>
      <c r="F14" s="11"/>
      <c r="G14" s="11" t="s">
        <v>26</v>
      </c>
      <c r="H14" s="11" t="s">
        <v>38</v>
      </c>
      <c r="I14" s="11" t="s">
        <v>38</v>
      </c>
      <c r="J14" s="11">
        <v>20</v>
      </c>
      <c r="K14" s="11">
        <v>557.52</v>
      </c>
      <c r="L14" s="11">
        <v>2059</v>
      </c>
      <c r="M14" s="11">
        <f t="shared" si="0"/>
        <v>1501.48</v>
      </c>
      <c r="N14" s="18">
        <f t="shared" si="1"/>
        <v>0.729227780475959</v>
      </c>
      <c r="O14" s="11">
        <v>100</v>
      </c>
      <c r="P14" s="19">
        <f t="shared" si="2"/>
        <v>0.0485672656629432</v>
      </c>
      <c r="Q14" s="29">
        <f>IFERROR(SUMIF(商务费用支付申请!$A:$A,$A14,商务费用支付申请!$C:$C),"0")</f>
        <v>0</v>
      </c>
      <c r="R14" s="30">
        <f t="shared" si="3"/>
        <v>0.729227780475959</v>
      </c>
      <c r="S14" s="31">
        <v>5910893881</v>
      </c>
      <c r="T14">
        <f t="shared" si="4"/>
        <v>-2000</v>
      </c>
    </row>
    <row r="15" spans="1:20">
      <c r="A15" s="11"/>
      <c r="B15" s="11" t="s">
        <v>56</v>
      </c>
      <c r="C15" s="11" t="s">
        <v>23</v>
      </c>
      <c r="D15" s="11" t="s">
        <v>39</v>
      </c>
      <c r="E15" s="11" t="s">
        <v>40</v>
      </c>
      <c r="F15" s="11"/>
      <c r="G15" s="11" t="s">
        <v>26</v>
      </c>
      <c r="H15" s="11" t="s">
        <v>59</v>
      </c>
      <c r="I15" s="11" t="s">
        <v>60</v>
      </c>
      <c r="J15" s="11">
        <v>17</v>
      </c>
      <c r="K15" s="11">
        <v>1195</v>
      </c>
      <c r="L15" s="11">
        <v>2050</v>
      </c>
      <c r="M15" s="11">
        <f t="shared" si="0"/>
        <v>855</v>
      </c>
      <c r="N15" s="18">
        <f t="shared" ref="N15:N23" si="5">IF(AND($M15&lt;&gt;0,$L15&lt;&gt;0),$M15/$L15,"")</f>
        <v>0.417073170731707</v>
      </c>
      <c r="O15" s="11">
        <v>100</v>
      </c>
      <c r="P15" s="19">
        <f t="shared" si="2"/>
        <v>0.0487804878048781</v>
      </c>
      <c r="Q15" s="29">
        <f>IFERROR(SUMIF(商务费用支付申请!$A:$A,$A15,商务费用支付申请!$C:$C),"0")</f>
        <v>0</v>
      </c>
      <c r="R15" s="30">
        <f t="shared" si="3"/>
        <v>0.417073170731707</v>
      </c>
      <c r="S15" s="31">
        <v>5910697606</v>
      </c>
      <c r="T15">
        <f t="shared" si="4"/>
        <v>-1700</v>
      </c>
    </row>
    <row r="16" spans="1:20">
      <c r="A16" s="11"/>
      <c r="B16" s="11" t="s">
        <v>56</v>
      </c>
      <c r="C16" s="11" t="s">
        <v>23</v>
      </c>
      <c r="D16" s="11" t="s">
        <v>39</v>
      </c>
      <c r="E16" s="11" t="s">
        <v>40</v>
      </c>
      <c r="F16" s="11"/>
      <c r="G16" s="11" t="s">
        <v>26</v>
      </c>
      <c r="H16" s="11" t="s">
        <v>37</v>
      </c>
      <c r="I16" s="11" t="s">
        <v>37</v>
      </c>
      <c r="J16" s="11">
        <v>82</v>
      </c>
      <c r="K16" s="11">
        <v>700</v>
      </c>
      <c r="L16" s="11">
        <v>1290</v>
      </c>
      <c r="M16" s="11">
        <f t="shared" si="0"/>
        <v>590</v>
      </c>
      <c r="N16" s="18">
        <f t="shared" si="5"/>
        <v>0.457364341085271</v>
      </c>
      <c r="O16" s="11">
        <v>100</v>
      </c>
      <c r="P16" s="19">
        <f t="shared" si="2"/>
        <v>0.0775193798449612</v>
      </c>
      <c r="Q16" s="29">
        <f>IFERROR(SUMIF(商务费用支付申请!$A:$A,$A16,商务费用支付申请!$C:$C),"")</f>
        <v>0</v>
      </c>
      <c r="R16" s="30">
        <f t="shared" si="3"/>
        <v>0.457364341085271</v>
      </c>
      <c r="S16" s="31">
        <v>5910736432</v>
      </c>
      <c r="T16">
        <f t="shared" si="4"/>
        <v>-8200</v>
      </c>
    </row>
    <row r="17" spans="1:20">
      <c r="A17" s="11"/>
      <c r="B17" s="11" t="s">
        <v>56</v>
      </c>
      <c r="C17" s="11" t="s">
        <v>23</v>
      </c>
      <c r="D17" s="11" t="s">
        <v>61</v>
      </c>
      <c r="E17" s="11" t="s">
        <v>62</v>
      </c>
      <c r="F17" s="11"/>
      <c r="G17" s="11" t="s">
        <v>26</v>
      </c>
      <c r="H17" s="11" t="s">
        <v>63</v>
      </c>
      <c r="I17" s="11" t="s">
        <v>64</v>
      </c>
      <c r="J17" s="11">
        <v>20</v>
      </c>
      <c r="K17" s="11">
        <v>1577</v>
      </c>
      <c r="L17" s="11">
        <v>3800</v>
      </c>
      <c r="M17" s="11">
        <f t="shared" si="0"/>
        <v>2223</v>
      </c>
      <c r="N17" s="18">
        <f t="shared" si="5"/>
        <v>0.585</v>
      </c>
      <c r="O17" s="11">
        <v>100</v>
      </c>
      <c r="P17" s="19">
        <f t="shared" si="2"/>
        <v>0.0263157894736842</v>
      </c>
      <c r="Q17" s="29">
        <f>IFERROR(SUMIF(商务费用支付申请!$A:$A,$A17,商务费用支付申请!$C:$C),"")</f>
        <v>0</v>
      </c>
      <c r="R17" s="30">
        <f t="shared" si="3"/>
        <v>0.585</v>
      </c>
      <c r="S17" s="31" t="str">
        <f>IFERROR(VLOOKUP(A17,商务费用支付申请!A:B,2,0),"")</f>
        <v/>
      </c>
      <c r="T17">
        <f t="shared" si="4"/>
        <v>-2000</v>
      </c>
    </row>
    <row r="18" spans="1:20">
      <c r="A18" s="11"/>
      <c r="B18" s="11" t="s">
        <v>56</v>
      </c>
      <c r="C18" s="11" t="s">
        <v>23</v>
      </c>
      <c r="D18" s="11" t="s">
        <v>61</v>
      </c>
      <c r="E18" s="11" t="s">
        <v>62</v>
      </c>
      <c r="F18" s="11"/>
      <c r="G18" s="11" t="s">
        <v>26</v>
      </c>
      <c r="H18" s="11" t="s">
        <v>65</v>
      </c>
      <c r="I18" s="11" t="s">
        <v>66</v>
      </c>
      <c r="J18" s="11">
        <v>5</v>
      </c>
      <c r="K18" s="11">
        <v>1422</v>
      </c>
      <c r="L18" s="11">
        <v>3300</v>
      </c>
      <c r="M18" s="11">
        <f t="shared" si="0"/>
        <v>1878</v>
      </c>
      <c r="N18" s="18">
        <f t="shared" si="5"/>
        <v>0.569090909090909</v>
      </c>
      <c r="O18" s="11">
        <v>100</v>
      </c>
      <c r="P18" s="19">
        <f t="shared" si="2"/>
        <v>0.0303030303030303</v>
      </c>
      <c r="Q18" s="29">
        <f>IFERROR(SUMIF(商务费用支付申请!$A:$A,$A18,商务费用支付申请!$C:$C),"")</f>
        <v>0</v>
      </c>
      <c r="R18" s="30">
        <f t="shared" si="3"/>
        <v>0.569090909090909</v>
      </c>
      <c r="S18" s="31" t="str">
        <f>IFERROR(VLOOKUP(A18,商务费用支付申请!A:B,2,0),"")</f>
        <v/>
      </c>
      <c r="T18">
        <f t="shared" si="4"/>
        <v>-500</v>
      </c>
    </row>
    <row r="19" s="3" customFormat="1" ht="44" customHeight="1" spans="1:20">
      <c r="A19" s="10"/>
      <c r="B19" s="10" t="s">
        <v>67</v>
      </c>
      <c r="C19" s="11" t="s">
        <v>23</v>
      </c>
      <c r="D19" s="10" t="s">
        <v>52</v>
      </c>
      <c r="E19" s="10" t="s">
        <v>53</v>
      </c>
      <c r="F19" s="10"/>
      <c r="G19" s="11" t="s">
        <v>26</v>
      </c>
      <c r="H19" s="10" t="s">
        <v>68</v>
      </c>
      <c r="I19" s="10" t="s">
        <v>55</v>
      </c>
      <c r="J19" s="10">
        <v>200</v>
      </c>
      <c r="K19" s="10">
        <v>2270</v>
      </c>
      <c r="L19" s="10">
        <v>2837</v>
      </c>
      <c r="M19" s="11">
        <f t="shared" si="0"/>
        <v>567</v>
      </c>
      <c r="N19" s="16">
        <f t="shared" si="5"/>
        <v>0.199859005992245</v>
      </c>
      <c r="O19" s="10">
        <v>50</v>
      </c>
      <c r="P19" s="21">
        <f t="shared" si="2"/>
        <v>0.0176242509693338</v>
      </c>
      <c r="Q19" s="26">
        <f>IFERROR(SUMIF(商务费用支付申请!$A:$A,$A19,商务费用支付申请!$C:$C),"")</f>
        <v>0</v>
      </c>
      <c r="R19" s="32">
        <f t="shared" si="3"/>
        <v>0.199859005992245</v>
      </c>
      <c r="S19" s="28" t="str">
        <f>IFERROR(VLOOKUP(A19,商务费用支付申请!A:B,2,0),"")</f>
        <v/>
      </c>
      <c r="T19" s="3">
        <f t="shared" si="4"/>
        <v>-10000</v>
      </c>
    </row>
    <row r="20" ht="42" spans="1:20">
      <c r="A20" s="11"/>
      <c r="B20" s="11" t="s">
        <v>69</v>
      </c>
      <c r="C20" s="11" t="s">
        <v>23</v>
      </c>
      <c r="D20" s="11" t="s">
        <v>70</v>
      </c>
      <c r="E20" s="11" t="s">
        <v>48</v>
      </c>
      <c r="F20" s="11"/>
      <c r="G20" s="10" t="s">
        <v>71</v>
      </c>
      <c r="H20" s="11" t="s">
        <v>72</v>
      </c>
      <c r="I20" s="11" t="s">
        <v>73</v>
      </c>
      <c r="J20" s="11">
        <v>20</v>
      </c>
      <c r="K20" s="11">
        <v>1600</v>
      </c>
      <c r="L20" s="11">
        <v>3200</v>
      </c>
      <c r="M20" s="11">
        <f t="shared" si="0"/>
        <v>1600</v>
      </c>
      <c r="N20" s="18">
        <f t="shared" si="5"/>
        <v>0.5</v>
      </c>
      <c r="O20" s="11">
        <v>100</v>
      </c>
      <c r="P20" s="19">
        <f t="shared" ref="P20:P36" si="6">IF(AND($O20&lt;&gt;0,$L20&lt;&gt;0),$O20/$L20,"")</f>
        <v>0.03125</v>
      </c>
      <c r="Q20" s="29">
        <f>IFERROR(SUMIF(商务费用支付申请!$A:$A,$A20,商务费用支付申请!$C:$C),"")</f>
        <v>0</v>
      </c>
      <c r="R20" s="30">
        <f t="shared" ref="R20:R28" si="7">IF(AND(($M20*$J20-$Q20)&lt;&gt;0,($L20*$J20)&lt;&gt;0),($M20*$J20-$Q20)/($L20*$J20),"")</f>
        <v>0.5</v>
      </c>
      <c r="S20" s="31" t="str">
        <f>IFERROR(VLOOKUP(A20,商务费用支付申请!A:B,2,0),"")</f>
        <v/>
      </c>
      <c r="T20">
        <f t="shared" ref="T20:T28" si="8">Q20-O20*J20</f>
        <v>-2000</v>
      </c>
    </row>
    <row r="21" ht="56" spans="1:20">
      <c r="A21" s="11"/>
      <c r="B21" s="11" t="s">
        <v>69</v>
      </c>
      <c r="C21" s="11" t="s">
        <v>23</v>
      </c>
      <c r="D21" s="11" t="s">
        <v>70</v>
      </c>
      <c r="E21" s="11" t="s">
        <v>48</v>
      </c>
      <c r="F21" s="11"/>
      <c r="G21" s="10" t="s">
        <v>74</v>
      </c>
      <c r="H21" s="10" t="s">
        <v>75</v>
      </c>
      <c r="I21" s="11" t="s">
        <v>76</v>
      </c>
      <c r="J21" s="11">
        <v>5</v>
      </c>
      <c r="K21" s="11">
        <v>3465</v>
      </c>
      <c r="L21" s="11">
        <v>4500</v>
      </c>
      <c r="M21" s="11">
        <f t="shared" si="0"/>
        <v>1035</v>
      </c>
      <c r="N21" s="18">
        <f t="shared" si="5"/>
        <v>0.23</v>
      </c>
      <c r="O21" s="11">
        <v>100</v>
      </c>
      <c r="P21" s="19">
        <f t="shared" si="6"/>
        <v>0.0222222222222222</v>
      </c>
      <c r="Q21" s="29">
        <f>IFERROR(SUMIF(商务费用支付申请!$A:$A,$A21,商务费用支付申请!$C:$C),"")</f>
        <v>0</v>
      </c>
      <c r="R21" s="30">
        <f t="shared" si="7"/>
        <v>0.23</v>
      </c>
      <c r="S21" s="31" t="str">
        <f>IFERROR(VLOOKUP(A21,商务费用支付申请!A:B,2,0),"")</f>
        <v/>
      </c>
      <c r="T21">
        <f t="shared" si="8"/>
        <v>-500</v>
      </c>
    </row>
    <row r="22" spans="1:20">
      <c r="A22" s="11"/>
      <c r="B22" s="11" t="s">
        <v>77</v>
      </c>
      <c r="C22" s="11" t="s">
        <v>23</v>
      </c>
      <c r="D22" s="11" t="s">
        <v>78</v>
      </c>
      <c r="E22" s="11" t="s">
        <v>79</v>
      </c>
      <c r="F22" s="11"/>
      <c r="G22" s="11" t="s">
        <v>80</v>
      </c>
      <c r="H22" s="11" t="s">
        <v>37</v>
      </c>
      <c r="I22" s="11" t="s">
        <v>37</v>
      </c>
      <c r="J22" s="11">
        <v>69</v>
      </c>
      <c r="K22" s="11">
        <v>700</v>
      </c>
      <c r="L22" s="11">
        <v>1290</v>
      </c>
      <c r="M22" s="11">
        <f t="shared" si="0"/>
        <v>590</v>
      </c>
      <c r="N22" s="18">
        <f t="shared" si="5"/>
        <v>0.457364341085271</v>
      </c>
      <c r="O22" s="11">
        <v>100</v>
      </c>
      <c r="P22" s="19">
        <f t="shared" si="6"/>
        <v>0.0775193798449612</v>
      </c>
      <c r="Q22" s="29">
        <f>IFERROR(SUMIF(商务费用支付申请!$A:$A,$A22,商务费用支付申请!$C:$C),"")</f>
        <v>0</v>
      </c>
      <c r="R22" s="30">
        <f t="shared" si="7"/>
        <v>0.457364341085271</v>
      </c>
      <c r="S22" s="31">
        <v>5910913253</v>
      </c>
      <c r="T22">
        <f t="shared" si="8"/>
        <v>-6900</v>
      </c>
    </row>
    <row r="23" spans="1:20">
      <c r="A23" s="11"/>
      <c r="B23" s="11" t="s">
        <v>77</v>
      </c>
      <c r="C23" s="11" t="s">
        <v>23</v>
      </c>
      <c r="D23" s="11" t="s">
        <v>78</v>
      </c>
      <c r="E23" s="11" t="s">
        <v>79</v>
      </c>
      <c r="F23" s="11"/>
      <c r="G23" s="11" t="s">
        <v>80</v>
      </c>
      <c r="H23" s="11" t="s">
        <v>72</v>
      </c>
      <c r="I23" s="11" t="s">
        <v>73</v>
      </c>
      <c r="J23" s="11">
        <v>20</v>
      </c>
      <c r="K23" s="11">
        <v>1600</v>
      </c>
      <c r="L23" s="11">
        <v>3200</v>
      </c>
      <c r="M23" s="11">
        <f t="shared" si="0"/>
        <v>1600</v>
      </c>
      <c r="N23" s="18">
        <f t="shared" ref="N23:N34" si="9">IF(AND($M23&lt;&gt;0,$L23&lt;&gt;0),$M23/$L23,"")</f>
        <v>0.5</v>
      </c>
      <c r="O23" s="11">
        <v>100</v>
      </c>
      <c r="P23" s="19">
        <f t="shared" si="6"/>
        <v>0.03125</v>
      </c>
      <c r="Q23" s="29">
        <f>IFERROR(SUMIF(商务费用支付申请!$A:$A,$A23,商务费用支付申请!$C:$C),"")</f>
        <v>0</v>
      </c>
      <c r="R23" s="30">
        <f t="shared" si="7"/>
        <v>0.5</v>
      </c>
      <c r="S23" s="31" t="str">
        <f>IFERROR(VLOOKUP(A23,商务费用支付申请!A:B,2,0),"")</f>
        <v/>
      </c>
      <c r="T23">
        <f t="shared" si="8"/>
        <v>-2000</v>
      </c>
    </row>
    <row r="24" ht="56" spans="1:20">
      <c r="A24" s="11"/>
      <c r="B24" s="13" t="s">
        <v>81</v>
      </c>
      <c r="C24" s="11" t="s">
        <v>23</v>
      </c>
      <c r="D24" s="11" t="s">
        <v>45</v>
      </c>
      <c r="E24" s="11" t="s">
        <v>46</v>
      </c>
      <c r="F24" s="11"/>
      <c r="G24" s="14">
        <v>45117</v>
      </c>
      <c r="H24" s="10" t="s">
        <v>82</v>
      </c>
      <c r="I24" s="11" t="s">
        <v>55</v>
      </c>
      <c r="J24" s="11">
        <v>13</v>
      </c>
      <c r="K24" s="11">
        <v>199</v>
      </c>
      <c r="L24" s="11">
        <v>565</v>
      </c>
      <c r="M24" s="11">
        <f t="shared" si="0"/>
        <v>366</v>
      </c>
      <c r="N24" s="18">
        <f t="shared" si="9"/>
        <v>0.647787610619469</v>
      </c>
      <c r="O24" s="11">
        <v>100</v>
      </c>
      <c r="P24" s="19">
        <f t="shared" si="6"/>
        <v>0.176991150442478</v>
      </c>
      <c r="Q24" s="29">
        <f>IFERROR(SUMIF(商务费用支付申请!$A:$A,$A24,商务费用支付申请!$C:$C),"")</f>
        <v>0</v>
      </c>
      <c r="R24" s="30">
        <f t="shared" si="7"/>
        <v>0.647787610619469</v>
      </c>
      <c r="S24" s="33">
        <v>5014784823</v>
      </c>
      <c r="T24">
        <f t="shared" si="8"/>
        <v>-1300</v>
      </c>
    </row>
    <row r="25" spans="1:20">
      <c r="A25" s="11"/>
      <c r="B25" s="11" t="s">
        <v>81</v>
      </c>
      <c r="C25" s="11" t="s">
        <v>23</v>
      </c>
      <c r="D25" s="11" t="s">
        <v>35</v>
      </c>
      <c r="E25" s="11" t="s">
        <v>32</v>
      </c>
      <c r="F25" s="11"/>
      <c r="G25" s="11" t="s">
        <v>36</v>
      </c>
      <c r="H25" s="11" t="s">
        <v>59</v>
      </c>
      <c r="I25" s="11" t="s">
        <v>60</v>
      </c>
      <c r="J25" s="11">
        <v>30</v>
      </c>
      <c r="K25" s="11">
        <v>1195</v>
      </c>
      <c r="L25" s="11">
        <v>2050</v>
      </c>
      <c r="M25" s="11">
        <f t="shared" si="0"/>
        <v>855</v>
      </c>
      <c r="N25" s="18">
        <f t="shared" si="9"/>
        <v>0.417073170731707</v>
      </c>
      <c r="O25" s="11">
        <v>100</v>
      </c>
      <c r="P25" s="19">
        <f t="shared" si="6"/>
        <v>0.0487804878048781</v>
      </c>
      <c r="Q25" s="29">
        <f>IFERROR(SUMIF(商务费用支付申请!$A:$A,$A25,商务费用支付申请!$C:$C),"")</f>
        <v>0</v>
      </c>
      <c r="R25" s="30">
        <f t="shared" si="7"/>
        <v>0.417073170731707</v>
      </c>
      <c r="S25" s="31" t="str">
        <f>IFERROR(VLOOKUP(A25,商务费用支付申请!A:B,2,0),"")</f>
        <v/>
      </c>
      <c r="T25">
        <f t="shared" si="8"/>
        <v>-3000</v>
      </c>
    </row>
    <row r="26" spans="1:20">
      <c r="A26" s="11"/>
      <c r="B26" s="11" t="s">
        <v>83</v>
      </c>
      <c r="C26" s="11" t="s">
        <v>23</v>
      </c>
      <c r="D26" s="11" t="s">
        <v>41</v>
      </c>
      <c r="E26" s="11" t="s">
        <v>42</v>
      </c>
      <c r="F26" s="11"/>
      <c r="G26" s="11" t="s">
        <v>84</v>
      </c>
      <c r="H26" s="11" t="s">
        <v>85</v>
      </c>
      <c r="I26" s="11" t="s">
        <v>86</v>
      </c>
      <c r="J26" s="11">
        <v>60</v>
      </c>
      <c r="K26" s="11"/>
      <c r="L26" s="11">
        <v>1500</v>
      </c>
      <c r="M26" s="11"/>
      <c r="N26" s="18" t="str">
        <f t="shared" si="9"/>
        <v/>
      </c>
      <c r="O26" s="11">
        <v>300</v>
      </c>
      <c r="P26" s="19">
        <f t="shared" si="6"/>
        <v>0.2</v>
      </c>
      <c r="Q26" s="29">
        <f>IFERROR(SUMIF(商务费用支付申请!$A:$A,$A26,商务费用支付申请!$C:$C),"")</f>
        <v>0</v>
      </c>
      <c r="R26" s="30" t="str">
        <f t="shared" si="7"/>
        <v/>
      </c>
      <c r="S26" s="31" t="str">
        <f>IFERROR(VLOOKUP(A26,商务费用支付申请!A:B,2,0),"")</f>
        <v/>
      </c>
      <c r="T26">
        <f t="shared" si="8"/>
        <v>-18000</v>
      </c>
    </row>
    <row r="27" spans="1:20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8" t="str">
        <f t="shared" si="9"/>
        <v/>
      </c>
      <c r="O27" s="11"/>
      <c r="P27" s="19" t="str">
        <f t="shared" si="6"/>
        <v/>
      </c>
      <c r="Q27" s="29">
        <f>IFERROR(SUMIF(商务费用支付申请!$A:$A,$A27,商务费用支付申请!$C:$C),"")</f>
        <v>0</v>
      </c>
      <c r="R27" s="30" t="str">
        <f t="shared" si="7"/>
        <v/>
      </c>
      <c r="S27" s="31" t="str">
        <f>IFERROR(VLOOKUP(A27,商务费用支付申请!A:B,2,0),"")</f>
        <v/>
      </c>
      <c r="T27">
        <f t="shared" si="8"/>
        <v>0</v>
      </c>
    </row>
    <row r="28" spans="1:20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8" t="str">
        <f t="shared" si="9"/>
        <v/>
      </c>
      <c r="O28" s="11"/>
      <c r="P28" s="19" t="str">
        <f t="shared" si="6"/>
        <v/>
      </c>
      <c r="Q28" s="29">
        <f>IFERROR(SUMIF(商务费用支付申请!$A:$A,$A28,商务费用支付申请!$C:$C),"")</f>
        <v>0</v>
      </c>
      <c r="R28" s="30" t="str">
        <f t="shared" si="7"/>
        <v/>
      </c>
      <c r="S28" s="31" t="str">
        <f>IFERROR(VLOOKUP(A28,商务费用支付申请!A:B,2,0),"")</f>
        <v/>
      </c>
      <c r="T28">
        <f t="shared" si="8"/>
        <v>0</v>
      </c>
    </row>
    <row r="29" spans="1:20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8" t="str">
        <f t="shared" si="9"/>
        <v/>
      </c>
      <c r="O29" s="11"/>
      <c r="P29" s="19" t="str">
        <f t="shared" si="6"/>
        <v/>
      </c>
      <c r="Q29" s="29">
        <f>IFERROR(SUMIF(商务费用支付申请!$A:$A,$A29,商务费用支付申请!$C:$C),"")</f>
        <v>0</v>
      </c>
      <c r="R29" s="30" t="str">
        <f t="shared" ref="R29:R48" si="10">IF(AND(($M29*$J29-$Q29)&lt;&gt;0,($L29*$J29)&lt;&gt;0),($M29*$J29-$Q29)/($L29*$J29),"")</f>
        <v/>
      </c>
      <c r="S29" s="31" t="str">
        <f>IFERROR(VLOOKUP(A29,商务费用支付申请!A:B,2,0),"")</f>
        <v/>
      </c>
      <c r="T29">
        <f t="shared" ref="T29:T50" si="11">Q29-O29*J29</f>
        <v>0</v>
      </c>
    </row>
    <row r="30" spans="1:20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8" t="str">
        <f t="shared" si="9"/>
        <v/>
      </c>
      <c r="O30" s="11"/>
      <c r="P30" s="19" t="str">
        <f t="shared" si="6"/>
        <v/>
      </c>
      <c r="Q30" s="29">
        <f>IFERROR(SUMIF(商务费用支付申请!$A:$A,$A30,商务费用支付申请!$C:$C),"")</f>
        <v>0</v>
      </c>
      <c r="R30" s="30" t="str">
        <f t="shared" si="10"/>
        <v/>
      </c>
      <c r="S30" s="31" t="str">
        <f>IFERROR(VLOOKUP(A30,商务费用支付申请!A:B,2,0),"")</f>
        <v/>
      </c>
      <c r="T30">
        <f t="shared" si="11"/>
        <v>0</v>
      </c>
    </row>
    <row r="31" spans="1:20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8" t="str">
        <f t="shared" si="9"/>
        <v/>
      </c>
      <c r="O31" s="11"/>
      <c r="P31" s="19" t="str">
        <f t="shared" si="6"/>
        <v/>
      </c>
      <c r="Q31" s="29">
        <f>IFERROR(SUMIF(商务费用支付申请!$A:$A,$A31,商务费用支付申请!$C:$C),"")</f>
        <v>0</v>
      </c>
      <c r="R31" s="30" t="str">
        <f t="shared" si="10"/>
        <v/>
      </c>
      <c r="S31" s="31" t="str">
        <f>IFERROR(VLOOKUP(A31,商务费用支付申请!A:B,2,0),"")</f>
        <v/>
      </c>
      <c r="T31">
        <f t="shared" si="11"/>
        <v>0</v>
      </c>
    </row>
    <row r="32" spans="1:20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8" t="str">
        <f t="shared" si="9"/>
        <v/>
      </c>
      <c r="O32" s="11"/>
      <c r="P32" s="19" t="str">
        <f t="shared" si="6"/>
        <v/>
      </c>
      <c r="Q32" s="29">
        <f>IFERROR(SUMIF(商务费用支付申请!$A:$A,$A32,商务费用支付申请!$C:$C),"")</f>
        <v>0</v>
      </c>
      <c r="R32" s="30" t="str">
        <f t="shared" si="10"/>
        <v/>
      </c>
      <c r="S32" s="31" t="str">
        <f>IFERROR(VLOOKUP(A32,商务费用支付申请!A:B,2,0),"")</f>
        <v/>
      </c>
      <c r="T32">
        <f t="shared" si="11"/>
        <v>0</v>
      </c>
    </row>
    <row r="33" spans="1:20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8" t="str">
        <f t="shared" si="9"/>
        <v/>
      </c>
      <c r="O33" s="11"/>
      <c r="P33" s="19" t="str">
        <f t="shared" si="6"/>
        <v/>
      </c>
      <c r="Q33" s="29">
        <f>IFERROR(SUMIF(商务费用支付申请!$A:$A,$A33,商务费用支付申请!$C:$C),"")</f>
        <v>0</v>
      </c>
      <c r="R33" s="30" t="str">
        <f t="shared" si="10"/>
        <v/>
      </c>
      <c r="S33" s="31" t="str">
        <f>IFERROR(VLOOKUP(A33,商务费用支付申请!A:B,2,0),"")</f>
        <v/>
      </c>
      <c r="T33">
        <f t="shared" si="11"/>
        <v>0</v>
      </c>
    </row>
    <row r="34" spans="1:20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8" t="str">
        <f t="shared" ref="N34:N47" si="12">IF(AND($M34&lt;&gt;0,$L34&lt;&gt;0),$M34/$L34,"")</f>
        <v/>
      </c>
      <c r="O34" s="11"/>
      <c r="P34" s="19" t="str">
        <f t="shared" si="6"/>
        <v/>
      </c>
      <c r="Q34" s="29">
        <f>IFERROR(SUMIF(商务费用支付申请!$A:$A,$A34,商务费用支付申请!$C:$C),"")</f>
        <v>0</v>
      </c>
      <c r="R34" s="30" t="str">
        <f t="shared" si="10"/>
        <v/>
      </c>
      <c r="S34" s="31" t="str">
        <f>IFERROR(VLOOKUP(A34,商务费用支付申请!A:B,2,0),"")</f>
        <v/>
      </c>
      <c r="T34">
        <f t="shared" si="11"/>
        <v>0</v>
      </c>
    </row>
    <row r="35" spans="1:20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8" t="str">
        <f t="shared" si="12"/>
        <v/>
      </c>
      <c r="O35" s="11"/>
      <c r="P35" s="19" t="str">
        <f t="shared" si="6"/>
        <v/>
      </c>
      <c r="Q35" s="29">
        <f>IFERROR(SUMIF(商务费用支付申请!$A:$A,$A35,商务费用支付申请!$C:$C),"")</f>
        <v>0</v>
      </c>
      <c r="R35" s="30" t="str">
        <f t="shared" si="10"/>
        <v/>
      </c>
      <c r="S35" s="31" t="str">
        <f>IFERROR(VLOOKUP(A35,商务费用支付申请!A:B,2,0),"")</f>
        <v/>
      </c>
      <c r="T35">
        <f t="shared" si="11"/>
        <v>0</v>
      </c>
    </row>
    <row r="36" spans="1:20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8" t="str">
        <f t="shared" si="12"/>
        <v/>
      </c>
      <c r="O36" s="11"/>
      <c r="P36" s="19" t="str">
        <f t="shared" si="6"/>
        <v/>
      </c>
      <c r="Q36" s="29">
        <f>IFERROR(SUMIF(商务费用支付申请!$A:$A,$A36,商务费用支付申请!$C:$C),"")</f>
        <v>0</v>
      </c>
      <c r="R36" s="30" t="str">
        <f t="shared" si="10"/>
        <v/>
      </c>
      <c r="S36" s="31" t="str">
        <f>IFERROR(VLOOKUP(A36,商务费用支付申请!A:B,2,0),"")</f>
        <v/>
      </c>
      <c r="T36">
        <f t="shared" si="11"/>
        <v>0</v>
      </c>
    </row>
    <row r="37" spans="1:20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8" t="str">
        <f t="shared" si="12"/>
        <v/>
      </c>
      <c r="O37" s="11"/>
      <c r="P37" s="19" t="str">
        <f t="shared" ref="P37:P46" si="13">IF(AND($O37&lt;&gt;0,$L37&lt;&gt;0),$O37/$L37,"")</f>
        <v/>
      </c>
      <c r="Q37" s="29">
        <f>IFERROR(SUMIF(商务费用支付申请!$A:$A,$A37,商务费用支付申请!$C:$C),"")</f>
        <v>0</v>
      </c>
      <c r="R37" s="30" t="str">
        <f t="shared" si="10"/>
        <v/>
      </c>
      <c r="S37" s="31" t="str">
        <f>IFERROR(VLOOKUP(A37,商务费用支付申请!A:B,2,0),"")</f>
        <v/>
      </c>
      <c r="T37">
        <f t="shared" si="11"/>
        <v>0</v>
      </c>
    </row>
    <row r="38" spans="1:20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8" t="str">
        <f t="shared" si="12"/>
        <v/>
      </c>
      <c r="O38" s="11"/>
      <c r="P38" s="19" t="str">
        <f t="shared" si="13"/>
        <v/>
      </c>
      <c r="Q38" s="29">
        <f>IFERROR(SUMIF(商务费用支付申请!$A:$A,$A38,商务费用支付申请!$C:$C),"")</f>
        <v>0</v>
      </c>
      <c r="R38" s="30" t="str">
        <f t="shared" si="10"/>
        <v/>
      </c>
      <c r="S38" s="31" t="str">
        <f>IFERROR(VLOOKUP(A38,商务费用支付申请!A:B,2,0),"")</f>
        <v/>
      </c>
      <c r="T38">
        <f t="shared" si="11"/>
        <v>0</v>
      </c>
    </row>
    <row r="39" spans="1:20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8" t="str">
        <f t="shared" si="12"/>
        <v/>
      </c>
      <c r="O39" s="11"/>
      <c r="P39" s="19" t="str">
        <f t="shared" si="13"/>
        <v/>
      </c>
      <c r="Q39" s="29">
        <f>IFERROR(SUMIF(商务费用支付申请!$A:$A,$A39,商务费用支付申请!$C:$C),"")</f>
        <v>0</v>
      </c>
      <c r="R39" s="30" t="str">
        <f t="shared" si="10"/>
        <v/>
      </c>
      <c r="S39" s="31" t="str">
        <f>IFERROR(VLOOKUP(A39,商务费用支付申请!A:B,2,0),"")</f>
        <v/>
      </c>
      <c r="T39">
        <f t="shared" si="11"/>
        <v>0</v>
      </c>
    </row>
    <row r="40" spans="1:20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8" t="str">
        <f t="shared" si="12"/>
        <v/>
      </c>
      <c r="O40" s="11"/>
      <c r="P40" s="19" t="str">
        <f t="shared" si="13"/>
        <v/>
      </c>
      <c r="Q40" s="29">
        <f>IFERROR(SUMIF(商务费用支付申请!$A:$A,$A40,商务费用支付申请!$C:$C),"")</f>
        <v>0</v>
      </c>
      <c r="R40" s="30" t="str">
        <f t="shared" si="10"/>
        <v/>
      </c>
      <c r="S40" s="31" t="str">
        <f>IFERROR(VLOOKUP(A40,商务费用支付申请!A:B,2,0),"")</f>
        <v/>
      </c>
      <c r="T40">
        <f t="shared" si="11"/>
        <v>0</v>
      </c>
    </row>
    <row r="41" spans="1:20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8" t="str">
        <f t="shared" si="12"/>
        <v/>
      </c>
      <c r="O41" s="11"/>
      <c r="P41" s="19" t="str">
        <f t="shared" si="13"/>
        <v/>
      </c>
      <c r="Q41" s="29">
        <f>IFERROR(SUMIF(商务费用支付申请!$A:$A,$A41,商务费用支付申请!$C:$C),"")</f>
        <v>0</v>
      </c>
      <c r="R41" s="30" t="str">
        <f t="shared" si="10"/>
        <v/>
      </c>
      <c r="S41" s="31" t="str">
        <f>IFERROR(VLOOKUP(A41,商务费用支付申请!A:B,2,0),"")</f>
        <v/>
      </c>
      <c r="T41">
        <f t="shared" si="11"/>
        <v>0</v>
      </c>
    </row>
    <row r="42" spans="1:20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8" t="str">
        <f t="shared" si="12"/>
        <v/>
      </c>
      <c r="O42" s="11"/>
      <c r="P42" s="19" t="str">
        <f t="shared" si="13"/>
        <v/>
      </c>
      <c r="Q42" s="29">
        <f>IFERROR(SUMIF(商务费用支付申请!$A:$A,$A42,商务费用支付申请!$C:$C),"")</f>
        <v>0</v>
      </c>
      <c r="R42" s="30" t="str">
        <f t="shared" si="10"/>
        <v/>
      </c>
      <c r="S42" s="31" t="str">
        <f>IFERROR(VLOOKUP(A42,商务费用支付申请!A:B,2,0),"")</f>
        <v/>
      </c>
      <c r="T42">
        <f t="shared" si="11"/>
        <v>0</v>
      </c>
    </row>
    <row r="43" spans="1:20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8" t="str">
        <f t="shared" si="12"/>
        <v/>
      </c>
      <c r="O43" s="11"/>
      <c r="P43" s="19" t="str">
        <f t="shared" si="13"/>
        <v/>
      </c>
      <c r="Q43" s="29">
        <f>IFERROR(SUMIF(商务费用支付申请!$A:$A,$A43,商务费用支付申请!$C:$C),"")</f>
        <v>0</v>
      </c>
      <c r="R43" s="30" t="str">
        <f t="shared" si="10"/>
        <v/>
      </c>
      <c r="S43" s="31" t="str">
        <f>IFERROR(VLOOKUP(A43,商务费用支付申请!A:B,2,0),"")</f>
        <v/>
      </c>
      <c r="T43">
        <f t="shared" si="11"/>
        <v>0</v>
      </c>
    </row>
    <row r="44" spans="1:20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8" t="str">
        <f t="shared" si="12"/>
        <v/>
      </c>
      <c r="O44" s="11"/>
      <c r="P44" s="19" t="str">
        <f t="shared" si="13"/>
        <v/>
      </c>
      <c r="Q44" s="29">
        <f>IFERROR(SUMIF(商务费用支付申请!$A:$A,$A44,商务费用支付申请!$C:$C),"")</f>
        <v>0</v>
      </c>
      <c r="R44" s="30" t="str">
        <f t="shared" si="10"/>
        <v/>
      </c>
      <c r="S44" s="31" t="str">
        <f>IFERROR(VLOOKUP(A44,商务费用支付申请!A:B,2,0),"")</f>
        <v/>
      </c>
      <c r="T44">
        <f t="shared" si="11"/>
        <v>0</v>
      </c>
    </row>
    <row r="45" spans="1:20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8" t="str">
        <f t="shared" si="12"/>
        <v/>
      </c>
      <c r="O45" s="11"/>
      <c r="P45" s="19" t="str">
        <f t="shared" si="13"/>
        <v/>
      </c>
      <c r="Q45" s="29">
        <f>IFERROR(SUMIF(商务费用支付申请!$A:$A,$A45,商务费用支付申请!$C:$C),"")</f>
        <v>0</v>
      </c>
      <c r="R45" s="30" t="str">
        <f t="shared" si="10"/>
        <v/>
      </c>
      <c r="S45" s="31" t="str">
        <f>IFERROR(VLOOKUP(A45,商务费用支付申请!A:B,2,0),"")</f>
        <v/>
      </c>
      <c r="T45">
        <f t="shared" si="11"/>
        <v>0</v>
      </c>
    </row>
    <row r="46" spans="1:20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8" t="str">
        <f t="shared" si="12"/>
        <v/>
      </c>
      <c r="O46" s="11"/>
      <c r="P46" s="19" t="str">
        <f t="shared" si="13"/>
        <v/>
      </c>
      <c r="Q46" s="29">
        <f>IFERROR(SUMIF(商务费用支付申请!$A:$A,$A46,商务费用支付申请!$C:$C),"")</f>
        <v>0</v>
      </c>
      <c r="R46" s="30" t="str">
        <f t="shared" si="10"/>
        <v/>
      </c>
      <c r="S46" s="31"/>
      <c r="T46">
        <f t="shared" si="11"/>
        <v>0</v>
      </c>
    </row>
    <row r="47" spans="1:20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8" t="str">
        <f t="shared" si="12"/>
        <v/>
      </c>
      <c r="O47" s="11"/>
      <c r="P47" s="22"/>
      <c r="Q47" s="29">
        <f>IFERROR(SUMIF(商务费用支付申请!$A:$A,$A47,商务费用支付申请!$C:$C),"")</f>
        <v>0</v>
      </c>
      <c r="R47" s="30" t="str">
        <f t="shared" si="10"/>
        <v/>
      </c>
      <c r="S47" s="31"/>
      <c r="T47">
        <f t="shared" si="11"/>
        <v>0</v>
      </c>
    </row>
    <row r="48" spans="1:20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8"/>
      <c r="O48" s="11"/>
      <c r="P48" s="22"/>
      <c r="Q48" s="29">
        <f>IFERROR(SUMIF(商务费用支付申请!$A:$A,$A48,商务费用支付申请!$C:$C),"")</f>
        <v>0</v>
      </c>
      <c r="R48" s="30" t="str">
        <f t="shared" si="10"/>
        <v/>
      </c>
      <c r="S48" s="31"/>
      <c r="T48">
        <f t="shared" si="11"/>
        <v>0</v>
      </c>
    </row>
    <row r="49" spans="1:20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8"/>
      <c r="O49" s="11"/>
      <c r="P49" s="22"/>
      <c r="Q49" s="29">
        <f>IFERROR(SUMIF(商务费用支付申请!$A:$A,$A49,商务费用支付申请!$C:$C),"")</f>
        <v>0</v>
      </c>
      <c r="R49" s="34"/>
      <c r="S49" s="31"/>
      <c r="T49">
        <f t="shared" si="11"/>
        <v>0</v>
      </c>
    </row>
    <row r="50" spans="1:20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8"/>
      <c r="O50" s="11"/>
      <c r="P50" s="22"/>
      <c r="Q50" s="29">
        <f>IFERROR(SUMIF(商务费用支付申请!$A:$A,$A50,商务费用支付申请!$C:$C),"")</f>
        <v>0</v>
      </c>
      <c r="R50" s="34"/>
      <c r="S50" s="31"/>
      <c r="T50">
        <f t="shared" si="11"/>
        <v>0</v>
      </c>
    </row>
    <row r="51" spans="1:19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8"/>
      <c r="O51" s="11"/>
      <c r="P51" s="22"/>
      <c r="Q51" s="29"/>
      <c r="R51" s="35"/>
      <c r="S51" s="31"/>
    </row>
    <row r="52" spans="1:19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8"/>
      <c r="O52" s="11"/>
      <c r="P52" s="22"/>
      <c r="Q52" s="29"/>
      <c r="R52" s="35"/>
      <c r="S52" s="31"/>
    </row>
    <row r="53" spans="1:19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8"/>
      <c r="O53" s="11"/>
      <c r="P53" s="22"/>
      <c r="Q53" s="29"/>
      <c r="R53" s="35"/>
      <c r="S53" s="31"/>
    </row>
  </sheetData>
  <mergeCells count="2">
    <mergeCell ref="A1:P2"/>
    <mergeCell ref="Q1:S2"/>
  </mergeCell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C2" sqref="C2"/>
    </sheetView>
  </sheetViews>
  <sheetFormatPr defaultColWidth="9" defaultRowHeight="14" outlineLevelRow="2" outlineLevelCol="2"/>
  <cols>
    <col min="1" max="1" width="12" customWidth="1"/>
    <col min="2" max="2" width="15.75" customWidth="1"/>
    <col min="3" max="3" width="15.25" customWidth="1"/>
    <col min="4" max="4" width="12.75" customWidth="1"/>
  </cols>
  <sheetData>
    <row r="1" spans="1:3">
      <c r="A1" t="s">
        <v>2</v>
      </c>
      <c r="B1" t="s">
        <v>20</v>
      </c>
      <c r="C1" t="s">
        <v>87</v>
      </c>
    </row>
    <row r="2" spans="1:3">
      <c r="A2">
        <v>230501</v>
      </c>
      <c r="B2" t="s">
        <v>88</v>
      </c>
      <c r="C2" s="1">
        <v>10000</v>
      </c>
    </row>
    <row r="3" spans="2:2">
      <c r="B3" s="2">
        <v>5910125109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商务费用报备申请单</vt:lpstr>
      <vt:lpstr>商务费用支付申请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27422</dc:creator>
  <cp:lastModifiedBy>a小哥a</cp:lastModifiedBy>
  <dcterms:created xsi:type="dcterms:W3CDTF">2023-05-15T16:12:00Z</dcterms:created>
  <dcterms:modified xsi:type="dcterms:W3CDTF">2023-08-10T12:54:16Z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994EEF8A2CE04185BFC0A207B058A453_13</vt:lpwstr>
  </property>
  <property fmtid="{D5CDD505-2E9C-101B-9397-08002B2CF9AE}" pid="3" name="KSOProductBuildVer">
    <vt:lpwstr>2052-11.1.0.14309</vt:lpwstr>
  </property>
</Properties>
</file>