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690" firstSheet="1" activeTab="3"/>
  </bookViews>
  <sheets>
    <sheet name="商务费用报备申请单" sheetId="1" state="hidden" r:id="rId1"/>
    <sheet name="龙志荣0504" sheetId="8" r:id="rId2"/>
    <sheet name="平兴燕0504" sheetId="7" r:id="rId3"/>
    <sheet name="其它" sheetId="10" r:id="rId4"/>
    <sheet name="0504" sheetId="4" r:id="rId5"/>
  </sheets>
  <externalReferences>
    <externalReference r:id="rId6"/>
    <externalReference r:id="rId7"/>
    <externalReference r:id="rId8"/>
  </externalReferences>
  <definedNames>
    <definedName name="_xlnm._FilterDatabase" localSheetId="0" hidden="1">商务费用报备申请单!$3:$158</definedName>
    <definedName name="_xlnm._FilterDatabase" localSheetId="1" hidden="1">龙志荣0504!$A$3:$AE$175</definedName>
    <definedName name="_xlnm._FilterDatabase" localSheetId="2" hidden="1">平兴燕0504!$A$3:$AE$185</definedName>
    <definedName name="_xlnm._FilterDatabase" localSheetId="3" hidden="1">其它!$A$3:$AE$4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admin</author>
    <author>pc</author>
  </authors>
  <commentList>
    <comment ref="R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K30" authorId="1">
      <text>
        <r>
          <rPr>
            <sz val="9"/>
            <rFont val="宋体"/>
            <charset val="134"/>
          </rPr>
          <t xml:space="preserve">大概成本，需要实际核
</t>
        </r>
      </text>
    </comment>
    <comment ref="O51" authorId="1">
      <text>
        <r>
          <rPr>
            <sz val="9"/>
            <rFont val="宋体"/>
            <charset val="134"/>
          </rPr>
          <t>沟通确认</t>
        </r>
      </text>
    </comment>
    <comment ref="K66" authorId="1">
      <text>
        <r>
          <rPr>
            <sz val="9"/>
            <rFont val="宋体"/>
            <charset val="134"/>
          </rPr>
          <t xml:space="preserve">待确认成本
</t>
        </r>
      </text>
    </comment>
    <comment ref="K68" authorId="1">
      <text>
        <r>
          <rPr>
            <sz val="9"/>
            <rFont val="宋体"/>
            <charset val="134"/>
          </rPr>
          <t xml:space="preserve">预计成本 需要
实际核
</t>
        </r>
      </text>
    </comment>
    <comment ref="T68" authorId="1">
      <text>
        <r>
          <rPr>
            <sz val="9"/>
            <rFont val="宋体"/>
            <charset val="134"/>
          </rPr>
          <t xml:space="preserve">新浪潮
</t>
        </r>
      </text>
    </comment>
    <comment ref="I83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IPC-710不带显示器 2台 报价3840 合同4300 毛利 20个点超出部分税价我们来承承担 IPC－710带显示器 4台 报价4345 合同5000 毛利 16个点超出部分税价我们来承承担 。4台需要费用 2230</t>
        </r>
      </text>
    </comment>
    <comment ref="T90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飞英达的订单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S1" authorId="0">
      <text>
        <r>
          <rPr>
            <sz val="9"/>
            <rFont val="宋体"/>
            <charset val="134"/>
          </rPr>
          <t>不用填写</t>
        </r>
      </text>
    </comment>
    <comment ref="X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需要做上浮</t>
        </r>
      </text>
    </comment>
  </commentList>
</comments>
</file>

<file path=xl/comments3.xml><?xml version="1.0" encoding="utf-8"?>
<comments xmlns="http://schemas.openxmlformats.org/spreadsheetml/2006/main">
  <authors>
    <author>Administrator</author>
    <author>w_w</author>
    <author>PC</author>
  </authors>
  <commentList>
    <comment ref="S1" authorId="0">
      <text>
        <r>
          <rPr>
            <sz val="9"/>
            <rFont val="宋体"/>
            <charset val="134"/>
          </rPr>
          <t>不用填写</t>
        </r>
      </text>
    </comment>
    <comment ref="X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需要做上浮</t>
        </r>
      </text>
    </comment>
    <comment ref="J82" authorId="1">
      <text>
        <r>
          <rPr>
            <sz val="9"/>
            <rFont val="宋体"/>
            <charset val="134"/>
          </rPr>
          <t xml:space="preserve">报价品牌跟实物不一致，发邮箱通知采购了
</t>
        </r>
      </text>
    </comment>
    <comment ref="Z101" authorId="1">
      <text>
        <r>
          <rPr>
            <sz val="9"/>
            <rFont val="宋体"/>
            <charset val="134"/>
          </rPr>
          <t xml:space="preserve">报价品牌：威视朗PL-D10+K1;升降1.6m，托盘大小400*290mm 。
订单品牌;福达通
</t>
        </r>
      </text>
    </comment>
    <comment ref="Z102" authorId="1">
      <text>
        <r>
          <rPr>
            <sz val="9"/>
            <rFont val="宋体"/>
            <charset val="134"/>
          </rPr>
          <t>报价品牌北智
订单品牌福达通</t>
        </r>
      </text>
    </comment>
    <comment ref="Z112" authorId="1">
      <text>
        <r>
          <rPr>
            <sz val="9"/>
            <rFont val="宋体"/>
            <charset val="134"/>
          </rPr>
          <t xml:space="preserve">报价品牌;英特佩斯
订单品牌;福达通	
</t>
        </r>
      </text>
    </comment>
    <comment ref="Z113" authorId="1">
      <text>
        <r>
          <rPr>
            <sz val="9"/>
            <rFont val="宋体"/>
            <charset val="134"/>
          </rPr>
          <t xml:space="preserve">报价品牌;英特佩斯
订单品牌;福达通	
</t>
        </r>
      </text>
    </comment>
    <comment ref="Z114" authorId="1">
      <text>
        <r>
          <rPr>
            <sz val="9"/>
            <rFont val="宋体"/>
            <charset val="134"/>
          </rPr>
          <t xml:space="preserve">报价品牌;英特佩斯
订单品牌;福达通	
</t>
        </r>
      </text>
    </comment>
    <comment ref="Z115" authorId="1">
      <text>
        <r>
          <rPr>
            <sz val="9"/>
            <rFont val="宋体"/>
            <charset val="134"/>
          </rPr>
          <t xml:space="preserve">报价品牌;英特佩斯
订单品牌;福达通	</t>
        </r>
      </text>
    </comment>
    <comment ref="Z116" authorId="1">
      <text>
        <r>
          <rPr>
            <sz val="9"/>
            <rFont val="宋体"/>
            <charset val="134"/>
          </rPr>
          <t xml:space="preserve">报价品牌;英特佩斯
订单品牌;福达通	
	</t>
        </r>
      </text>
    </comment>
    <comment ref="Z120" authorId="1">
      <text>
        <r>
          <rPr>
            <sz val="9"/>
            <rFont val="宋体"/>
            <charset val="134"/>
          </rPr>
          <t>报价品牌：杭州集普JEBOOL                   
订单品牌：福达通</t>
        </r>
      </text>
    </comment>
    <comment ref="J139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骧腾</t>
        </r>
      </text>
    </comment>
    <comment ref="J160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深圳标控电气</t>
        </r>
      </text>
    </comment>
    <comment ref="J164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自动转单：末次报价型号为： 优博讯工业级平板电脑P8100/6+128</t>
        </r>
      </text>
    </comment>
    <comment ref="J173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自动转单，信息为末次报价
优博讯；P8100P  </t>
        </r>
      </text>
    </comment>
  </commentList>
</comments>
</file>

<file path=xl/comments4.xml><?xml version="1.0" encoding="utf-8"?>
<comments xmlns="http://schemas.openxmlformats.org/spreadsheetml/2006/main">
  <authors>
    <author>Administrator</author>
    <author>admin</author>
  </authors>
  <commentList>
    <comment ref="S1" authorId="0">
      <text>
        <r>
          <rPr>
            <sz val="9"/>
            <rFont val="宋体"/>
            <charset val="134"/>
          </rPr>
          <t>不用填写</t>
        </r>
      </text>
    </comment>
    <comment ref="X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需要做上浮</t>
        </r>
      </text>
    </comment>
    <comment ref="P5" authorId="1">
      <text>
        <r>
          <rPr>
            <sz val="9"/>
            <rFont val="宋体"/>
            <charset val="134"/>
          </rPr>
          <t xml:space="preserve">报价 5955 合同价6500
</t>
        </r>
      </text>
    </comment>
    <comment ref="P6" authorId="1">
      <text>
        <r>
          <rPr>
            <sz val="9"/>
            <rFont val="宋体"/>
            <charset val="134"/>
          </rPr>
          <t xml:space="preserve">报价 5280 合同价6000
</t>
        </r>
      </text>
    </comment>
    <comment ref="P7" authorId="1">
      <text>
        <r>
          <rPr>
            <sz val="9"/>
            <rFont val="宋体"/>
            <charset val="134"/>
          </rPr>
          <t>报价5000合同价4353 差价647  扣除13个点的税</t>
        </r>
      </text>
    </comment>
    <comment ref="P8" authorId="1">
      <text>
        <r>
          <rPr>
            <sz val="9"/>
            <rFont val="宋体"/>
            <charset val="134"/>
          </rPr>
          <t>合同价含税1250  报价含税900  成本含税 800</t>
        </r>
      </text>
    </comment>
    <comment ref="P9" authorId="1">
      <text>
        <r>
          <rPr>
            <sz val="9"/>
            <rFont val="宋体"/>
            <charset val="134"/>
          </rPr>
          <t>报价5000合同价4235 差价747  扣除13个点的税</t>
        </r>
      </text>
    </comment>
    <comment ref="P10" authorId="1">
      <text>
        <r>
          <rPr>
            <sz val="9"/>
            <rFont val="宋体"/>
            <charset val="134"/>
          </rPr>
          <t>合同价含税1250  报价含税900  成本含税 800</t>
        </r>
      </text>
    </comment>
    <comment ref="P11" authorId="1">
      <text>
        <r>
          <rPr>
            <sz val="9"/>
            <rFont val="宋体"/>
            <charset val="134"/>
          </rPr>
          <t>报价5800合同价5030 差价770  扣除13个点的税</t>
        </r>
      </text>
    </comment>
    <comment ref="P12" authorId="1">
      <text>
        <r>
          <rPr>
            <sz val="9"/>
            <rFont val="宋体"/>
            <charset val="134"/>
          </rPr>
          <t xml:space="preserve">合同价含税1200  报价含税900  成本含税 812
</t>
        </r>
      </text>
    </comment>
    <comment ref="P13" authorId="1">
      <text>
        <r>
          <rPr>
            <sz val="9"/>
            <rFont val="宋体"/>
            <charset val="134"/>
          </rPr>
          <t xml:space="preserve">合同价含税1200  报价含税900  成本含税 812
</t>
        </r>
      </text>
    </comment>
    <comment ref="K20" authorId="1">
      <text>
        <r>
          <rPr>
            <b/>
            <sz val="9"/>
            <rFont val="宋体"/>
            <charset val="134"/>
          </rPr>
          <t xml:space="preserve">75+15+10
</t>
        </r>
      </text>
    </comment>
  </commentList>
</comments>
</file>

<file path=xl/sharedStrings.xml><?xml version="1.0" encoding="utf-8"?>
<sst xmlns="http://schemas.openxmlformats.org/spreadsheetml/2006/main" count="3533" uniqueCount="763">
  <si>
    <t>商务费用报备申请单</t>
  </si>
  <si>
    <t>实际支付</t>
  </si>
  <si>
    <t>报备编号</t>
  </si>
  <si>
    <t>项目报备时间</t>
  </si>
  <si>
    <t>销售员</t>
  </si>
  <si>
    <t>项目名称</t>
  </si>
  <si>
    <t>工程师</t>
  </si>
  <si>
    <t>工厂代码</t>
  </si>
  <si>
    <t>下单时间</t>
  </si>
  <si>
    <t>产品型号</t>
  </si>
  <si>
    <t>物料描述</t>
  </si>
  <si>
    <t>数量</t>
  </si>
  <si>
    <t>未税成本单价</t>
  </si>
  <si>
    <t>销售单价（未税）</t>
  </si>
  <si>
    <t>毛利</t>
  </si>
  <si>
    <t>毛利率</t>
  </si>
  <si>
    <t>报告费用额/台</t>
  </si>
  <si>
    <t>总报告费用额</t>
  </si>
  <si>
    <t>费用率</t>
  </si>
  <si>
    <t>申请支付商务费用</t>
  </si>
  <si>
    <t>实际毛利率</t>
  </si>
  <si>
    <t>订单号</t>
  </si>
  <si>
    <t>差额</t>
  </si>
  <si>
    <t>申请付款月份</t>
  </si>
  <si>
    <t>2022.10.13</t>
  </si>
  <si>
    <t>洪文泽</t>
  </si>
  <si>
    <t>多媒体</t>
  </si>
  <si>
    <t>陈文魁</t>
  </si>
  <si>
    <t>工控电脑研华；型号：i7-1070016G1TBSSD</t>
  </si>
  <si>
    <t>研华</t>
  </si>
  <si>
    <t>5月开票</t>
  </si>
  <si>
    <t>2022.10月</t>
  </si>
  <si>
    <t>强存清</t>
  </si>
  <si>
    <t>南宁储能扫描枪</t>
  </si>
  <si>
    <t>刘大干</t>
  </si>
  <si>
    <t>2023.1.3</t>
  </si>
  <si>
    <t>合杰HL300W</t>
  </si>
  <si>
    <r>
      <rPr>
        <sz val="9"/>
        <color rgb="FF333333"/>
        <rFont val="Microsoft YaHei"/>
        <charset val="134"/>
      </rPr>
      <t>扫描枪_HL300W_二维影像无线扫码枪</t>
    </r>
  </si>
  <si>
    <t>(已支付45000）</t>
  </si>
  <si>
    <t>报告费用里有300/台是给赛邦费用</t>
  </si>
  <si>
    <t>2022.12.8</t>
  </si>
  <si>
    <t>高压电气</t>
  </si>
  <si>
    <t>杨越</t>
  </si>
  <si>
    <t>15.6寸/128G固态硬盘/i5-6200UCPU/4G</t>
  </si>
  <si>
    <t>骧腾</t>
  </si>
  <si>
    <t>7200008187
7200008192
7200008200
7200008201
7200008207</t>
  </si>
  <si>
    <t>7月份开票</t>
  </si>
  <si>
    <t>条码打印机_分辨率300DPI/512MB内存/2GB板载线性闪1存/最大打印宽度</t>
  </si>
  <si>
    <t>霍尼</t>
  </si>
  <si>
    <t>4月开票</t>
  </si>
  <si>
    <t>2023.2.3</t>
  </si>
  <si>
    <t>抚州线束工厂</t>
  </si>
  <si>
    <t>刘琦、秦南南</t>
  </si>
  <si>
    <t>2022.11.2</t>
  </si>
  <si>
    <t>骧腾一体机</t>
  </si>
  <si>
    <t>工控一体机15寸/256G固态硬盘/CPU英特尔i78代8线程主频＞1.9HZ以</t>
  </si>
  <si>
    <t>6月开票</t>
  </si>
  <si>
    <t>2023.3.13</t>
  </si>
  <si>
    <t>电动总成</t>
  </si>
  <si>
    <t>王新田</t>
  </si>
  <si>
    <t>CPU: I5 6代</t>
  </si>
  <si>
    <t>CPU:I510代</t>
  </si>
  <si>
    <t>MV-FDT911-B_x0002_U_无线手持式</t>
  </si>
  <si>
    <t>海康7010B</t>
  </si>
  <si>
    <t>MV-FDT911-B_x0002_L_无线手持式</t>
  </si>
  <si>
    <t>MV-FDT911-NR_x0002_L_有线手持式</t>
  </si>
  <si>
    <t>海康7010N</t>
  </si>
  <si>
    <t>MV-FDT911-NR_x0002_U_有线手持式</t>
  </si>
  <si>
    <t>2023.3.27</t>
  </si>
  <si>
    <t>刘涵政</t>
  </si>
  <si>
    <t>H100W</t>
  </si>
  <si>
    <t>2023.3.29</t>
  </si>
  <si>
    <t>长沙线束工厂</t>
  </si>
  <si>
    <t>陆思宏</t>
  </si>
  <si>
    <t>TT065-50</t>
  </si>
  <si>
    <t>2023.4.10</t>
  </si>
  <si>
    <t>雨花电动总成</t>
  </si>
  <si>
    <t>陈佳</t>
  </si>
  <si>
    <t>XT/骧腾 对讲机 HT31 430~440MHz 黑色2W 台</t>
  </si>
  <si>
    <t>2023.4.19</t>
  </si>
  <si>
    <t>2023.5.15</t>
  </si>
  <si>
    <t>刘琦</t>
  </si>
  <si>
    <t>2023.5.16</t>
  </si>
  <si>
    <t>抚州高压电气</t>
  </si>
  <si>
    <t>康金云</t>
  </si>
  <si>
    <t>海康FD7080</t>
  </si>
  <si>
    <t>海康3013-SR-U</t>
  </si>
  <si>
    <t>2023.5.19</t>
  </si>
  <si>
    <t>预计6月份</t>
  </si>
  <si>
    <t>TSC  TP6830T</t>
  </si>
  <si>
    <t>TSC- TP6830T  300dpi 带剥离回卷</t>
  </si>
  <si>
    <t>抚州铜线工厂</t>
  </si>
  <si>
    <t>宁乡电池工厂</t>
  </si>
  <si>
    <t>邓立勃</t>
  </si>
  <si>
    <t>J20-B</t>
  </si>
  <si>
    <t>5911045015/5910897182</t>
  </si>
  <si>
    <t>7月份开票100台/8月份开票10台</t>
  </si>
  <si>
    <t>2023.5.22</t>
  </si>
  <si>
    <t>周涛</t>
  </si>
  <si>
    <t>江西华视</t>
  </si>
  <si>
    <t>梅工 肖中华</t>
  </si>
  <si>
    <t/>
  </si>
  <si>
    <t>规划院</t>
  </si>
  <si>
    <t>李杏</t>
  </si>
  <si>
    <t>骧腾FD-7080</t>
  </si>
  <si>
    <t>5014372193</t>
  </si>
  <si>
    <t>预计6月底</t>
  </si>
  <si>
    <t>9月开票</t>
  </si>
  <si>
    <t>2023.5.28</t>
  </si>
  <si>
    <t>王武</t>
  </si>
  <si>
    <t>西安线束</t>
  </si>
  <si>
    <t>杨旭</t>
  </si>
  <si>
    <t>X150</t>
  </si>
  <si>
    <t>扫描枪_hejie/H100W-2D_固定式</t>
  </si>
  <si>
    <t>5910379391
5910217164
5910155276
5910396556
5910459734
5910408636
5910408774</t>
  </si>
  <si>
    <t>PPC-15S</t>
  </si>
  <si>
    <t>一体机</t>
  </si>
  <si>
    <t>4100148974
4100149708
4100149702
4100139817
4100152348</t>
  </si>
  <si>
    <t>条码打印机_TT065-
50_203DPI_RoHS</t>
  </si>
  <si>
    <t>条码打印机</t>
  </si>
  <si>
    <t>5910355494
5910213129
5910210783
5910156073
5910395230
5910396556
5910444856
5910408830
5910395230</t>
  </si>
  <si>
    <t>IDATA-T1-012</t>
  </si>
  <si>
    <t>PDA</t>
  </si>
  <si>
    <t>5910382460
5910170317
5910106409
5910424049
5910408830</t>
  </si>
  <si>
    <t>安阳线束</t>
  </si>
  <si>
    <t>张孬/常松伟</t>
  </si>
  <si>
    <t>AYF0</t>
  </si>
  <si>
    <t xml:space="preserve">条码打印机_TT065-600_300DPI </t>
  </si>
  <si>
    <t>5910553096/5910863373</t>
  </si>
  <si>
    <t>阜阳线束</t>
  </si>
  <si>
    <t>武廉</t>
  </si>
  <si>
    <t>YF2</t>
  </si>
  <si>
    <t>8月开票</t>
  </si>
  <si>
    <t>FYF2</t>
  </si>
  <si>
    <t>西安车灯</t>
  </si>
  <si>
    <t>韩六一</t>
  </si>
  <si>
    <t>X060</t>
  </si>
  <si>
    <t>IDATA-9702</t>
  </si>
  <si>
    <t>扫描枪TD6550</t>
  </si>
  <si>
    <t>扫描枪</t>
  </si>
  <si>
    <t>TT065-62剥离版</t>
  </si>
  <si>
    <t>打印机</t>
  </si>
  <si>
    <t>MH341T剥离版</t>
  </si>
  <si>
    <t>PPC-18S</t>
  </si>
  <si>
    <t>西安总装</t>
  </si>
  <si>
    <t>张挺</t>
  </si>
  <si>
    <t>X110</t>
  </si>
  <si>
    <t>EDA61K</t>
  </si>
  <si>
    <t>2023.5.5</t>
  </si>
  <si>
    <t>湘潭线束厂</t>
  </si>
  <si>
    <t>张雷</t>
  </si>
  <si>
    <t>TT065-60</t>
  </si>
  <si>
    <t>深圳电器</t>
  </si>
  <si>
    <t>马维</t>
  </si>
  <si>
    <t>IPC-610L/AIMB-786/I7-8700_16GDDR4_2T小键盘鼠标/1715</t>
  </si>
  <si>
    <t>深圳空调</t>
  </si>
  <si>
    <t>廖卫兵</t>
  </si>
  <si>
    <t>工控机_IPC-510_AIMB-705VG_I5-6500_8G_1THHD</t>
  </si>
  <si>
    <t>电脑_工业一体机</t>
  </si>
  <si>
    <t>师高伟</t>
  </si>
  <si>
    <t>研祥</t>
  </si>
  <si>
    <t>工控机_IPC-810_ECO-
1818_I7-
6700_16G_500G_19</t>
  </si>
  <si>
    <t>工控机-IPC-810E</t>
  </si>
  <si>
    <t>3月开票</t>
  </si>
  <si>
    <t>工控机_IPC-810E_EC0-1818_I5-7500_16GDDR4_24</t>
  </si>
  <si>
    <t>MES电脑_工业一体机</t>
  </si>
  <si>
    <t>七部</t>
  </si>
  <si>
    <t>刘江林</t>
  </si>
  <si>
    <t>研华工控机AIMC320201/研华</t>
  </si>
  <si>
    <t>二部</t>
  </si>
  <si>
    <t>工控机_AIMC-3202EST/I7-
7700/16G/1T/DELLE222</t>
  </si>
  <si>
    <t>工控机_IPC-610L_AIMB-786_I7-8700_16GDDR4_2T</t>
  </si>
  <si>
    <t>未开票</t>
  </si>
  <si>
    <t>深圳线束</t>
  </si>
  <si>
    <t>卢远灼</t>
  </si>
  <si>
    <t>一体机用十代成本可以降150，后面还有200台左右</t>
  </si>
  <si>
    <t>研华工控机AIMC-320201/研华Intel®H110/Intel_I7-7</t>
  </si>
  <si>
    <t>东鹏商机</t>
  </si>
  <si>
    <t>采购方阳 、卢伟俊</t>
  </si>
  <si>
    <t>施江波</t>
  </si>
  <si>
    <t>2023.6.11</t>
  </si>
  <si>
    <t>2023.6.5</t>
  </si>
  <si>
    <t>金霞高压电气</t>
  </si>
  <si>
    <t>卢志春</t>
  </si>
  <si>
    <t>8月份开票</t>
  </si>
  <si>
    <t>袁富尔</t>
  </si>
  <si>
    <t>H191</t>
  </si>
  <si>
    <t>订单被抢，取消</t>
  </si>
  <si>
    <t>9702PDA</t>
  </si>
  <si>
    <t>IDATA  T1</t>
  </si>
  <si>
    <t>宁乡电动总成</t>
  </si>
  <si>
    <t>王辉</t>
  </si>
  <si>
    <t>MV-FDT911-B-U</t>
  </si>
  <si>
    <t>海康7010无线</t>
  </si>
  <si>
    <t>MV-FDT911-NR-U</t>
  </si>
  <si>
    <t>海康7010有线</t>
  </si>
  <si>
    <t>2023.6.6</t>
  </si>
  <si>
    <t>15.6寸/256G固态硬盘/i5-6200UCPU/8G</t>
  </si>
  <si>
    <t>2023.7.10</t>
  </si>
  <si>
    <t>预计7月份</t>
  </si>
  <si>
    <t>10月开票</t>
  </si>
  <si>
    <t>2023.6.12</t>
  </si>
  <si>
    <t>7月</t>
  </si>
  <si>
    <t>预计5月底</t>
  </si>
  <si>
    <t>2023.6.2</t>
  </si>
  <si>
    <t>路远电子</t>
  </si>
  <si>
    <t>李江南</t>
  </si>
  <si>
    <t>工控机_IPC-710</t>
  </si>
  <si>
    <t>HN20230508001</t>
  </si>
  <si>
    <t>HN20230602001/HN20230605001</t>
  </si>
  <si>
    <t>2023.6.28</t>
  </si>
  <si>
    <t>民治XT200扫描枪</t>
  </si>
  <si>
    <t>2023.6.29</t>
  </si>
  <si>
    <t>准备在内部商场采购</t>
  </si>
  <si>
    <t>骧腾FV20-13读码器</t>
  </si>
  <si>
    <t>海康ID2013</t>
  </si>
  <si>
    <t>看能不能直接在内部商场购买</t>
  </si>
  <si>
    <t>12.1寸全铝电容,I5-11代（1135G7）</t>
  </si>
  <si>
    <t>平田</t>
  </si>
  <si>
    <t>2023.7.5</t>
  </si>
  <si>
    <t>湘潭</t>
  </si>
  <si>
    <t>2023.8.10</t>
  </si>
  <si>
    <t>8月份</t>
  </si>
  <si>
    <t>H391N-C</t>
  </si>
  <si>
    <t>H29C串口版</t>
  </si>
  <si>
    <t>2023.9.1</t>
  </si>
  <si>
    <t>电驱工厂</t>
  </si>
  <si>
    <t>曾玮</t>
  </si>
  <si>
    <t>9月份</t>
  </si>
  <si>
    <t>IDATA  W1</t>
  </si>
  <si>
    <t>P1</t>
  </si>
  <si>
    <t>2023.9.18</t>
  </si>
  <si>
    <t>MZ-2297</t>
  </si>
  <si>
    <t>120-130</t>
  </si>
  <si>
    <t>雨花电源工厂</t>
  </si>
  <si>
    <t>万顺利</t>
  </si>
  <si>
    <t>IPPC-2115</t>
  </si>
  <si>
    <t>骧腾IPPC-2115</t>
  </si>
  <si>
    <t>工业平板</t>
  </si>
  <si>
    <t>2023.9.25</t>
  </si>
  <si>
    <t>抚州结构件工厂（震坤行）</t>
  </si>
  <si>
    <t>王军</t>
  </si>
  <si>
    <t>9-10月</t>
  </si>
  <si>
    <t>XT-9880</t>
  </si>
  <si>
    <t>T1</t>
  </si>
  <si>
    <t>5015515426/5015803189/5015757125/5015489162</t>
  </si>
  <si>
    <t>2023.9.23</t>
  </si>
  <si>
    <t>9月-10月</t>
  </si>
  <si>
    <t>MX-8068MB</t>
  </si>
  <si>
    <t>海康7010</t>
  </si>
  <si>
    <t>W10PRO</t>
  </si>
  <si>
    <t>P10PRO</t>
  </si>
  <si>
    <t>安卓工业平板</t>
  </si>
  <si>
    <t>IPPC-1885</t>
  </si>
  <si>
    <t>工控一体机</t>
  </si>
  <si>
    <t>济南电池</t>
  </si>
  <si>
    <t>杨博凯</t>
  </si>
  <si>
    <t>骧腾6880</t>
  </si>
  <si>
    <t>雨花线束</t>
  </si>
  <si>
    <t>10月份</t>
  </si>
  <si>
    <t>望城比亚迪</t>
  </si>
  <si>
    <t>余文涛</t>
  </si>
  <si>
    <t>HD7100</t>
  </si>
  <si>
    <t>SH-400</t>
  </si>
  <si>
    <t>J16</t>
  </si>
  <si>
    <t>准备用H100W代替</t>
  </si>
  <si>
    <t>2023.8.27</t>
  </si>
  <si>
    <t>条码打印机_TT065-600_300DPI</t>
  </si>
  <si>
    <t>2023.10.23</t>
  </si>
  <si>
    <t>工控一体机_骧腾PPC-15S/17</t>
  </si>
  <si>
    <t>4100162695/4100163334</t>
  </si>
  <si>
    <t>扫码枪</t>
  </si>
  <si>
    <t>5910631186/5910638563/5910646549/5910902074/5911015421/5911022907/5911027077/5911176923/5911297551/5911297800</t>
  </si>
  <si>
    <t>条码打印机_TT065-50_203DPI</t>
  </si>
  <si>
    <t>5910631186/5910638563/5910646549/5911022907/5911399376/5911529212</t>
  </si>
  <si>
    <t>扫描枪_iDATA-T1-012_PDA</t>
  </si>
  <si>
    <t>扫描枪_iData9702_PDA</t>
  </si>
  <si>
    <t>5911127480/5911127406/5911399364</t>
  </si>
  <si>
    <t>骧腾 TD6550</t>
  </si>
  <si>
    <t>XB20230615001/XB20230711001/XB20230802001</t>
  </si>
  <si>
    <t>5910872823/5911399386</t>
  </si>
  <si>
    <t>扫描枪_XT200_手持无线</t>
  </si>
  <si>
    <t>5911376219/5911399367</t>
  </si>
  <si>
    <t>张孬</t>
  </si>
  <si>
    <t>工控一体机_工控一体机_骧腾PPC-15S-I7</t>
  </si>
  <si>
    <t>深汕齿轮</t>
  </si>
  <si>
    <t>杨钰梅</t>
  </si>
  <si>
    <t>SZH8</t>
  </si>
  <si>
    <t>扫描枪_F720W_手持无线</t>
  </si>
  <si>
    <t>无具体费用，赠送一价值3599华为平板电脑一台</t>
  </si>
  <si>
    <t>扫描枪_iData-W10_手持无线</t>
  </si>
  <si>
    <t>平板</t>
  </si>
  <si>
    <t>2023.10.19</t>
  </si>
  <si>
    <t>XINAGTENG-L220</t>
  </si>
  <si>
    <t>海康3013B</t>
  </si>
  <si>
    <t>2023.10.30</t>
  </si>
  <si>
    <t>湘潭线束</t>
  </si>
  <si>
    <t>11月份</t>
  </si>
  <si>
    <t>2023.11.2</t>
  </si>
  <si>
    <t>骧腾610L</t>
  </si>
  <si>
    <t>工控机</t>
  </si>
  <si>
    <t>2023.11.8</t>
  </si>
  <si>
    <t>IDATA P1</t>
  </si>
  <si>
    <t>11-12月</t>
  </si>
  <si>
    <t>H880</t>
  </si>
  <si>
    <t>2023.11.10</t>
  </si>
  <si>
    <t>雨花线束工厂</t>
  </si>
  <si>
    <t>雨花注塑车间</t>
  </si>
  <si>
    <t>雨花减震器工厂</t>
  </si>
  <si>
    <t>寻彬彬</t>
  </si>
  <si>
    <t>KP-506M-USB</t>
  </si>
  <si>
    <t>海康3016PM</t>
  </si>
  <si>
    <t>2023.11.17</t>
  </si>
  <si>
    <t>马业胜</t>
  </si>
  <si>
    <t>斑马ZT611切刀</t>
  </si>
  <si>
    <t>2023.11.24</t>
  </si>
  <si>
    <t>12月份</t>
  </si>
  <si>
    <t>TT065-62</t>
  </si>
  <si>
    <t>抚州电动总成</t>
  </si>
  <si>
    <t>陈俊峰</t>
  </si>
  <si>
    <t>H100W（济南下单）</t>
  </si>
  <si>
    <t>11-12月份</t>
  </si>
  <si>
    <t>工业落地式触摸屏一体机</t>
  </si>
  <si>
    <t>嵌入式一体机</t>
  </si>
  <si>
    <t>11月份-1月</t>
  </si>
  <si>
    <t>跟上次陈佳的是一个单</t>
  </si>
  <si>
    <t>工控机_IPC-510_ASMB-786_I5-8500_16G-DDR4_51</t>
  </si>
  <si>
    <t>2023.8.1</t>
  </si>
  <si>
    <t>工控一体机_骧腾PPC-15S-I7</t>
  </si>
  <si>
    <t>2023.10.28</t>
  </si>
  <si>
    <t>桂林</t>
  </si>
  <si>
    <t>周自雄</t>
  </si>
  <si>
    <t>西安电源</t>
  </si>
  <si>
    <t>董恒恒</t>
  </si>
  <si>
    <t>工控机_IPC-510_AIBM-705G_lntei-i5-7500_8G_1</t>
  </si>
  <si>
    <t>线上</t>
  </si>
  <si>
    <t>WINDOWS平板 5台</t>
  </si>
  <si>
    <t>2023.07.31</t>
  </si>
  <si>
    <t>基信</t>
  </si>
  <si>
    <t>采购徐经理</t>
  </si>
  <si>
    <t>IPC-510/300W/AIMB/506G2/I7-9700/16G/256G+1T/系统</t>
  </si>
  <si>
    <t>合同价格减去报价部分多于的给到采购</t>
  </si>
  <si>
    <t>ZKH</t>
  </si>
  <si>
    <t>陈经理</t>
  </si>
  <si>
    <t>按二个点</t>
  </si>
  <si>
    <t>按二个点 因超过3W订单金额出面帮忙协调</t>
  </si>
  <si>
    <t>海目星</t>
  </si>
  <si>
    <t>龙志荣</t>
  </si>
  <si>
    <t>订单金额3个点到10月28日订单金额含税861636未税762509 已开发票未税504682</t>
  </si>
  <si>
    <t>科技</t>
  </si>
  <si>
    <t>平工</t>
  </si>
  <si>
    <t>未税2个点 58702已支付20000还有38702未支付</t>
  </si>
  <si>
    <t>平兴燕</t>
  </si>
  <si>
    <t>毛利分布情况</t>
  </si>
  <si>
    <t>销售公司名称</t>
  </si>
  <si>
    <t>初定毛利率</t>
  </si>
  <si>
    <t>基准毛利率</t>
  </si>
  <si>
    <t>基本费率</t>
  </si>
  <si>
    <t>最低毛利率</t>
  </si>
  <si>
    <t>毛利异常</t>
  </si>
  <si>
    <t>备注</t>
  </si>
  <si>
    <t>深圳福达通</t>
  </si>
  <si>
    <t>电脑配件及周边</t>
  </si>
  <si>
    <t>监控录像机
NVR301-04S3-P4</t>
  </si>
  <si>
    <t>LJ410-23081241</t>
  </si>
  <si>
    <t>监控摄像机
 IPC3612LB-ADF40K-G</t>
  </si>
  <si>
    <t>LJ410-23081571</t>
  </si>
  <si>
    <t>工控类</t>
  </si>
  <si>
    <t>工控机IPC-510/500W/AIMB-706G2/I7-8700/16G/SSD512/网卡*3/PCI串口卡*1/PCIE串口卡*1/4G独显/WIN10-64企业版</t>
  </si>
  <si>
    <t>LS410-23081440</t>
  </si>
  <si>
    <t>监控摄像机
IPC3612LB-ADF40K-G</t>
  </si>
  <si>
    <t>LJ410-23082030</t>
  </si>
  <si>
    <t>工控机
IPC-510/701G2/I5-2400/8G/1T/win10简体中文专业版</t>
  </si>
  <si>
    <t>LJ410-23081907</t>
  </si>
  <si>
    <t>工控机
IPC-510/500W/AIMB-786G2/I7-8700/16G/1T(G)/win10 64企业版/不带键鼠</t>
  </si>
  <si>
    <t>LJ410-23082307</t>
  </si>
  <si>
    <t>工控机
IPC-710/ECO-1818-6COM/I5-6500/8G/1T/512G SSD/300W/WIN10_64位专业</t>
  </si>
  <si>
    <t>LS410-23081853</t>
  </si>
  <si>
    <t>工控机
IPC-510/400W/AIMB-707G2/i7-10700/16G DDR4 2933/2TSSD金士顿/WIN10-64位企业版</t>
  </si>
  <si>
    <t>LJ410-23082699</t>
  </si>
  <si>
    <t>USB延长线
USB数据线公对公,自带延长放大器 10米</t>
  </si>
  <si>
    <t>LJ410-23082991</t>
  </si>
  <si>
    <t>工控机
IPC-810/ECO-1818-C236/I7-6700/16G/2T/256G SSD/2G独显 /LAN*4/300W/WIN10 64位专业版(配U盘不激活系统)</t>
  </si>
  <si>
    <t>LS410-23082077</t>
  </si>
  <si>
    <t>USB转RS232串口转接线
30989</t>
  </si>
  <si>
    <t>工控机
IPC-510/300W/AIMB-707G2/I7-10700/16G/1T_SSD/Win10-64_LTSC/4G_独立显卡</t>
  </si>
  <si>
    <t>LJ410-23083638</t>
  </si>
  <si>
    <t>LJ410-23085344</t>
  </si>
  <si>
    <t>LJ410-23085566</t>
  </si>
  <si>
    <t>交换机
EKI-2528-BE</t>
  </si>
  <si>
    <t>LS410-23083780</t>
  </si>
  <si>
    <t>LJ410-23085153</t>
  </si>
  <si>
    <t>LS410-23084034</t>
  </si>
  <si>
    <t>LS410-23084508</t>
  </si>
  <si>
    <t>LS410-23084625</t>
  </si>
  <si>
    <t>LS410-23090219</t>
  </si>
  <si>
    <t>5端口非管理型以太网工业交换机EKI-2525/I</t>
  </si>
  <si>
    <t>LS410-23090393</t>
  </si>
  <si>
    <t>LJ410-23091860</t>
  </si>
  <si>
    <t>交换机
EKI-5526I-AE</t>
  </si>
  <si>
    <t>LS410-23090993</t>
  </si>
  <si>
    <t>LS410-23091399</t>
  </si>
  <si>
    <t>工控机
IPC-710/EC0-1818/I5-6500 CPU/8G/128G SSD+1T HDD/300W/WIN10 64位专业版</t>
  </si>
  <si>
    <t>LJ410-23092942</t>
  </si>
  <si>
    <t>LJ410-23093320</t>
  </si>
  <si>
    <t>LJ410-23093783</t>
  </si>
  <si>
    <t>工控机
IPC-510/300W/AIMB-707G2/I7-10700/16G/2T/三星SSD512G/WIN10企业版</t>
  </si>
  <si>
    <t>LJ410-23094851</t>
  </si>
  <si>
    <t>工控机
IPC-510/300W/AIMB-787/I7-10700/8G/1T/SSD256G</t>
  </si>
  <si>
    <t>LJ410-23095292</t>
  </si>
  <si>
    <t>LS410-23092302</t>
  </si>
  <si>
    <t>LJ410-23095566</t>
  </si>
  <si>
    <t>LJ410-23096101</t>
  </si>
  <si>
    <t>LJ410-23096449</t>
  </si>
  <si>
    <t>LJ410-23096965</t>
  </si>
  <si>
    <t>LJ410-23097949</t>
  </si>
  <si>
    <t>LJ410-23098088</t>
  </si>
  <si>
    <t>EKI-2528-BE</t>
  </si>
  <si>
    <t>LJ410-23100042</t>
  </si>
  <si>
    <t>LJ410-23098821</t>
  </si>
  <si>
    <t>摄像机(6mm)
IPC2312SB-ADF60KM-I0</t>
  </si>
  <si>
    <t>LJ410-23100587</t>
  </si>
  <si>
    <t>监控录像机
IPC3612LB-ADF40K-H</t>
  </si>
  <si>
    <t>LJ410-23101122</t>
  </si>
  <si>
    <t>工控机
IPC-710/ECO-1818-6COM/I5-6500/8G/1T/512G SSD/300W/WIN10_64位专业版</t>
  </si>
  <si>
    <t>LS410-23100660</t>
  </si>
  <si>
    <t>LJ410-23101737</t>
  </si>
  <si>
    <t>摄像机(半球)
IPC312SB-ADF28K-I0</t>
  </si>
  <si>
    <t>LJ410-23102206</t>
  </si>
  <si>
    <t>LJ410-23102697</t>
  </si>
  <si>
    <t>LJ410-23102437</t>
  </si>
  <si>
    <t>LJ410-23103050</t>
  </si>
  <si>
    <t>LJ410-23104085</t>
  </si>
  <si>
    <t>交换机
EKI-5526/I</t>
  </si>
  <si>
    <t>LJ410-23104288</t>
  </si>
  <si>
    <t>LJ410-23104576</t>
  </si>
  <si>
    <t>电脑系统
Windows 10企业版</t>
  </si>
  <si>
    <t>LJ410-23105295</t>
  </si>
  <si>
    <t>LJ410-23105556</t>
  </si>
  <si>
    <t>LS410-23102728</t>
  </si>
  <si>
    <t>条码类</t>
  </si>
  <si>
    <t>条码打印机
ZD421T-300DPI(USB+蓝牙)</t>
  </si>
  <si>
    <t>LS410-23110587</t>
  </si>
  <si>
    <t>LJ410-23111870</t>
  </si>
  <si>
    <t>LJ410-23112805</t>
  </si>
  <si>
    <t>5端口非管理型以太网工业交换机
EKI-2525/I</t>
  </si>
  <si>
    <t>LS410-23111149</t>
  </si>
  <si>
    <t>华为数通智选8口千兆POE交换机S1730S-L8P1T-A
华为数通智选8口千兆POE交换机S1730S-L8P1T-A</t>
  </si>
  <si>
    <t>Office软件
OFFICE_家庭和学生版2021</t>
  </si>
  <si>
    <t>LS410-23111508</t>
  </si>
  <si>
    <t>打印机
CL4NX_PLUS(USB+网口+203DPI)</t>
  </si>
  <si>
    <t>工控机
IPC-510/300W/AIMB-786G2/I7-8700/32G/256G_SSD+2T_SSD/4G独立显卡</t>
  </si>
  <si>
    <t>LJ410-23114899</t>
  </si>
  <si>
    <t>工控机
IPC-510/500W/AIMB-786/I7-8700K/16G/三星SSD250G×3(RAID5)/RAIDON_IR2770/WIN10英文企业版64位/GT-103</t>
  </si>
  <si>
    <t>LS410-23111769</t>
  </si>
  <si>
    <t>摄像机(4mm)
IPC2122LB-ADF40KM-H</t>
  </si>
  <si>
    <t>LJ410-23116408</t>
  </si>
  <si>
    <t>交换机
S3100V3-10TP-SI</t>
  </si>
  <si>
    <t>LJ410-23116687</t>
  </si>
  <si>
    <t>陈樟</t>
  </si>
  <si>
    <t>安全类</t>
  </si>
  <si>
    <t>钥匙
TKS</t>
  </si>
  <si>
    <t>LS410-23112435</t>
  </si>
  <si>
    <t>单锁芯门锁
ITM-00046320_AA713576</t>
  </si>
  <si>
    <t>钥匙盒
ITM-00222543_AA722679</t>
  </si>
  <si>
    <t>快速断开线缆
Cable-10M-TQ7</t>
  </si>
  <si>
    <t>LS410-23112486</t>
  </si>
  <si>
    <t>LJ410-23117699</t>
  </si>
  <si>
    <t>LJ410-23117977</t>
  </si>
  <si>
    <t>LS410-23120078</t>
  </si>
  <si>
    <t>工控机
IPC-510/400W/AIMB-787G2/
17-10700/32G/1T_SSD+4T
HDD/RTX-2060_6G/4口网卡
PCIE-1674v/Win10-64_LTSC_ZB</t>
  </si>
  <si>
    <t>LJ410-23121602</t>
  </si>
  <si>
    <t>工控机
IPC510/AIMB-705G2/I7-6700/16G/1T硬盘/win10企业版</t>
  </si>
  <si>
    <t>LJ410-23122095</t>
  </si>
  <si>
    <t>工控机
IPC-510/300W/AIMB-708/I5-12500/16G/4T7200/SSD512G/2口网卡/win10企业版</t>
  </si>
  <si>
    <t>LJ410-23122849</t>
  </si>
  <si>
    <t>LJ410-23123741</t>
  </si>
  <si>
    <t>LJ410-23123932</t>
  </si>
  <si>
    <t>工控机
IPC-510/300W/AIMB-706/I7-8700/16G/SSD2T/WIN10企业版</t>
  </si>
  <si>
    <t>LS410-23122205</t>
  </si>
  <si>
    <t>LJ410-23125614</t>
  </si>
  <si>
    <t>LJ410-24010070</t>
  </si>
  <si>
    <t>LS410-24010048</t>
  </si>
  <si>
    <t>工控机
IPC-510/300W/705G2/I5-6500/8G/1T/WIN1064位/2口网卡Dlink(配U盘不激活系统）</t>
  </si>
  <si>
    <t>钥匙TKS</t>
  </si>
  <si>
    <t>LS410-24010277</t>
  </si>
  <si>
    <t>单锁芯门锁ITM-00046320_AA713576</t>
  </si>
  <si>
    <t>钥匙盒ITM-00222543_AA722679</t>
  </si>
  <si>
    <t>工控机
IPC-710/EC0-1820/I5-8500_CPU/16G内存/256G_SSD×2(磁盘阵列)+2T_HDD/Win10_企业版(High_End)</t>
  </si>
  <si>
    <t>LJ410-24010646</t>
  </si>
  <si>
    <t>LJ410-24011083</t>
  </si>
  <si>
    <t>LJ410-24011558</t>
  </si>
  <si>
    <t>工控机
IPC-510/300W/705G2/I7-6700/16G/2TB+256固态/WIN1064位/2口网卡DLINK/2G显卡(配U盘不激活系统)</t>
  </si>
  <si>
    <t>LS410-24011876</t>
  </si>
  <si>
    <t xml:space="preserve">交换机
EKI-2528-BE
</t>
  </si>
  <si>
    <t>LS410-24011838</t>
  </si>
  <si>
    <t>LJ411-24010408</t>
  </si>
  <si>
    <t>工控机
IPC-510/500W/AIMB-707G2/I7-10700/16G/2T/SSD256G/WIN10企业版/DLINK×2/4G显卡</t>
  </si>
  <si>
    <t>LS410-24012456</t>
  </si>
  <si>
    <t>工控机
RK-620/M43/I5-6500/16G/1T+128SSD/D-LINK*2/WIN10-64位企业版</t>
  </si>
  <si>
    <t>LA411-24011990</t>
  </si>
  <si>
    <t>LJ410-24020327</t>
  </si>
  <si>
    <t>戴尔显示器
E2219HN</t>
  </si>
  <si>
    <t>LS4RD-24020137</t>
  </si>
  <si>
    <t>LS410-24020704</t>
  </si>
  <si>
    <t>工控机
IPC-510/500W/AIMB-705G2/I7-6700/16G/SSD256G+1THDD/GTX1660super/DVD/Win10-64LTSCZB</t>
  </si>
  <si>
    <t>LS410-24021692</t>
  </si>
  <si>
    <t>工控机
IPC-510/500W/AIMB-706G2/I7-8700/16G/SSD256G/4THDD/4口网卡/WIN10_64位企业版</t>
  </si>
  <si>
    <t>工控机
IPC-510/300W/AIMB-788G2/I7-12700/32G/SSD512G+SSD512G/万耀双口网卡/win10-64位企业版</t>
  </si>
  <si>
    <t>冠捷工业显示器
X23E1H</t>
  </si>
  <si>
    <t>LS410-24021883</t>
  </si>
  <si>
    <t>工控机IPC-610L/AIMB-707G2/I9-10900K/32G/512G_SSD/1T_HDD/300W/win10-64位企业版</t>
  </si>
  <si>
    <t>LJ410-24022094</t>
  </si>
  <si>
    <t>工控机
IPC-810/ECo-1822/I7-10700/16G/1T/256G_SSD/300W/Win10_专业版</t>
  </si>
  <si>
    <t>LS410-24021954</t>
  </si>
  <si>
    <t>工控机
IPC-810/ECO-1822/I7-10700/DDR416G/256GSSD（M.2）/2THDD（西数）7200转/300W/Win10专业版</t>
  </si>
  <si>
    <t>LJ410-24022296</t>
  </si>
  <si>
    <t>LS4RD-24020406</t>
  </si>
  <si>
    <t>工控机IPC-310/250W/ECO-1816/
I7-3770/8G/128G_SSD/1T/
Win10_企业版初级版
G724R1</t>
  </si>
  <si>
    <t>LJ410-24030105</t>
  </si>
  <si>
    <t>LS4RD-24030133</t>
  </si>
  <si>
    <t>LJ410-24032027</t>
  </si>
  <si>
    <t>LJ410-24032542</t>
  </si>
  <si>
    <t>工控机IPC-510/300W/705G2/I7-6700/16G/2TB+256固态/WIN1064位/2口网卡DLINK/2G显卡(配U盘不激活系统)</t>
  </si>
  <si>
    <t>LS410-24031715</t>
  </si>
  <si>
    <t>交换机EKI-2528-BE</t>
  </si>
  <si>
    <t>LS4RD-24030982</t>
  </si>
  <si>
    <t>LE4RD-24030098</t>
  </si>
  <si>
    <t>刘秋萍</t>
  </si>
  <si>
    <t>FORTRESSTKS钥匙</t>
  </si>
  <si>
    <t>LS410-24032312</t>
  </si>
  <si>
    <t>FORTRESSITM-00046320_AA713576单锁芯门锁</t>
  </si>
  <si>
    <t>FORTRESSITM-00222543_AA722679钥匙盒</t>
  </si>
  <si>
    <t>IPC-510/300W/705G2/I7-6700/16G/2TB+256固态/WIN1064位/2口网卡DLINK/2G显卡(配U盘不激活系统)</t>
  </si>
  <si>
    <t>LS410-24032900</t>
  </si>
  <si>
    <t>工控机
IPC-510/300W/AIMB-705/I7-6700/8G/6T/WIN10企业版</t>
  </si>
  <si>
    <t>LS410-24032783</t>
  </si>
  <si>
    <t>LS4RD-24031255</t>
  </si>
  <si>
    <t>POE卡MV-GE2204P--海康</t>
  </si>
  <si>
    <t>LJ410-24035076</t>
  </si>
  <si>
    <t>交换机EKI-2728研华</t>
  </si>
  <si>
    <t>LJ410-24040218</t>
  </si>
  <si>
    <t>研祥工控机IPC-310/ECO-1820/I78700/32G/128G_SSD/250W/4T/Win10_专业版</t>
  </si>
  <si>
    <t>LS410-24040971</t>
  </si>
  <si>
    <t>条码打印机ZD421T-300DPI(USB+蓝牙)--斑马</t>
  </si>
  <si>
    <t>LJ411-24040193</t>
  </si>
  <si>
    <t>工控机IPC-510/300W/705G2/I7-6700/16G/2TB+256固态/WIN10 64位/2口网卡DLINK/2G显卡(配U盘不激活系统)</t>
  </si>
  <si>
    <t>LS410-24041945</t>
  </si>
  <si>
    <t>LS4RD-24040986</t>
  </si>
  <si>
    <t>LS410-24042499</t>
  </si>
  <si>
    <t>LS4RD-24041275</t>
  </si>
  <si>
    <t>LS4RD-24041186</t>
  </si>
  <si>
    <t>总报告费额</t>
  </si>
  <si>
    <t>商洛比亚迪实业有限公司</t>
  </si>
  <si>
    <t>XS31</t>
  </si>
  <si>
    <t>惠州比亚迪电池有限公司</t>
  </si>
  <si>
    <t>H162</t>
  </si>
  <si>
    <t>比亚迪汽车工业有限公司</t>
  </si>
  <si>
    <t>A153</t>
  </si>
  <si>
    <t>比亚迪汽车有限公司</t>
  </si>
  <si>
    <t>X153</t>
  </si>
  <si>
    <t>桂林比亚迪实业有限公司</t>
  </si>
  <si>
    <t>GLF2</t>
  </si>
  <si>
    <t>工控一体机_骧腾PPC-15S/I7_8代</t>
  </si>
  <si>
    <t>安阳比亚迪实业有限公司</t>
  </si>
  <si>
    <t>深圳市比亚迪供应链管理有限公司</t>
  </si>
  <si>
    <t>SZ54</t>
  </si>
  <si>
    <t>输入输出模块_PCI-1756</t>
  </si>
  <si>
    <t>X156</t>
  </si>
  <si>
    <t>工业相机配件_相机光源带连接线_PWD2-2024</t>
  </si>
  <si>
    <t>A151</t>
  </si>
  <si>
    <t>工控机_IPC-810E_ECO-1818_I5-7500_16G_500G_1</t>
  </si>
  <si>
    <t>A166</t>
  </si>
  <si>
    <t>电源单元_CJ1W-PD025</t>
  </si>
  <si>
    <t>C166</t>
  </si>
  <si>
    <t>插接箱_BJKC-CJ-400A-380V</t>
  </si>
  <si>
    <t>FZF9</t>
  </si>
  <si>
    <t>ZZF7</t>
  </si>
  <si>
    <t>工控机_IPPC-1201W_IMB-H61_Intel-i5_8G-DDR4_</t>
  </si>
  <si>
    <t>压力传感器_ST301-200N</t>
  </si>
  <si>
    <t>HFF1</t>
  </si>
  <si>
    <t>光源_176.6x111x29.6mm_白光_回型光源</t>
  </si>
  <si>
    <t>A162</t>
  </si>
  <si>
    <t>交换机_工业_DVS-008I00_二层_RJ45_非POE_非网管</t>
  </si>
  <si>
    <t>X165</t>
  </si>
  <si>
    <t>工业相机_MV-CU120-10GM_4024×3036_1/1.7"_9.7f</t>
  </si>
  <si>
    <t>长沙市比亚迪汽车有限公司</t>
  </si>
  <si>
    <t>C153</t>
  </si>
  <si>
    <t>A15A</t>
  </si>
  <si>
    <t>工控机_BIS-6660G_AMI-UEFI-BIOS_Core-i3/i5/i</t>
  </si>
  <si>
    <t>A157</t>
  </si>
  <si>
    <t>A152</t>
  </si>
  <si>
    <t>工业一体机_/</t>
  </si>
  <si>
    <t>A156</t>
  </si>
  <si>
    <t>工控机配件_缆线_SHC-C68-RDIO2</t>
  </si>
  <si>
    <t>SWF6</t>
  </si>
  <si>
    <t>光纤传感器_YIBOHNB-PT-410</t>
  </si>
  <si>
    <t>A150</t>
  </si>
  <si>
    <t>工控机_其他其他</t>
  </si>
  <si>
    <t>工控机_IPC-518_AIMB-706G2_I7-8700_DDR4-16G_</t>
  </si>
  <si>
    <t>位移传感器_NS-WY02-75mm10LI24-2M</t>
  </si>
  <si>
    <t>X163</t>
  </si>
  <si>
    <t>通讯模块_FX3U-ENET-ADP</t>
  </si>
  <si>
    <t>工控一体机_宋PLUS DM-i_旗</t>
  </si>
  <si>
    <t>工控一体机_骧腾PPC-15S/I7</t>
  </si>
  <si>
    <t>工控机配件_缆线_SHC68-C68-EPM</t>
  </si>
  <si>
    <t>输出模块_CJ1W-OD211</t>
  </si>
  <si>
    <t>JNF9</t>
  </si>
  <si>
    <t>工控机_iData-P1_触摸平板_8核2.0Ghz_64GB+4GB_-
_10</t>
  </si>
  <si>
    <t>广安比亚迪实业有限公司</t>
  </si>
  <si>
    <t>GAF0</t>
  </si>
  <si>
    <t>工业一体机_PPC-15S</t>
  </si>
  <si>
    <t>ZZF9</t>
  </si>
  <si>
    <t>交换机_工业_EDS-108_二层_RJ45_非POE_非网管</t>
  </si>
  <si>
    <t>HFF9</t>
  </si>
  <si>
    <t>工控机_iData-P1_触摸平板_8核2.0Ghz_64GB+4GB_-_10</t>
  </si>
  <si>
    <t>X157</t>
  </si>
  <si>
    <t>一体机电脑_/</t>
  </si>
  <si>
    <t>光源_条形光源_436×32×24mm_白色_2PIN+带偏振片</t>
  </si>
  <si>
    <t>西安比亚迪汽车零部件有限公司</t>
  </si>
  <si>
    <t>X0F5</t>
  </si>
  <si>
    <t>C165</t>
  </si>
  <si>
    <t>A165</t>
  </si>
  <si>
    <t>HFF8</t>
  </si>
  <si>
    <t>H165</t>
  </si>
  <si>
    <t>通讯模块_NX-CIF105</t>
  </si>
  <si>
    <t>弗迪科技有限公司</t>
  </si>
  <si>
    <t>一体机显示屏_/</t>
  </si>
  <si>
    <t>工控机_IPPC-1701S_WK-CMLB0-6C2L-10_I7-10610</t>
  </si>
  <si>
    <t>JNF8</t>
  </si>
  <si>
    <t>工控机_iData-P1_触摸平板_8核2.0Ghz_64GB+4GB_-10</t>
  </si>
  <si>
    <t>A155</t>
  </si>
  <si>
    <t>工控机_IPC-610L_EAMB-1585_I7-7700_DDR4-8G_1</t>
  </si>
  <si>
    <t>ZZF8</t>
  </si>
  <si>
    <t>宝鸡比亚迪实业有限公司</t>
  </si>
  <si>
    <t>X2F2</t>
  </si>
  <si>
    <t>电脑一体机_/</t>
  </si>
  <si>
    <t>电脑一体机_</t>
  </si>
  <si>
    <t>MES电脑_/</t>
  </si>
  <si>
    <t>工控机配件_工业平板电脑_KSD-1900M</t>
  </si>
  <si>
    <t>通讯模块_CJ1W-DRM21</t>
  </si>
  <si>
    <t>光电传感器_SE-L25</t>
  </si>
  <si>
    <t>输入输出模块_70E-ECQA7AMQDLMLM-Z</t>
  </si>
  <si>
    <t>输入输出模块_70E-ECQA7AMLM-Z</t>
  </si>
  <si>
    <t>输入输出模块_CPX-AP-I-4DI4DO-M8－3P</t>
  </si>
  <si>
    <t>输入模块_CPX-AP-I-8DI-M8-3P</t>
  </si>
  <si>
    <t>输入输出模块_CPX-AP-I-4DI4DO-M8-3P</t>
  </si>
  <si>
    <t>电源单元_CPX-AP-A-S-1-M12-5P</t>
  </si>
  <si>
    <t>陶莉</t>
  </si>
  <si>
    <t>通讯电缆_NEBU-LE3-K-2.5-M8G3</t>
  </si>
  <si>
    <t>通讯电缆_NEBU-LE3-K-5-M8G3</t>
  </si>
  <si>
    <t>通讯电缆_NEBL-M8G4-E-5-N-M8G4</t>
  </si>
  <si>
    <t>通讯电缆_NEBU-M12G5-K-1-M12G4</t>
  </si>
  <si>
    <t>传感器电缆_NEBU-M8G3-K-2.5-M8G3</t>
  </si>
  <si>
    <t>流量传感器_ZHM-04-KL-R-V</t>
  </si>
  <si>
    <t>流量传感器_ZHM-01/3-81-R-V</t>
  </si>
  <si>
    <t>工控机_IPPC-1701T_H110_Inter-i5_8G_512G_17寸</t>
  </si>
  <si>
    <t>工控机_IPC-518_EBC-GF812_I5-4570_DDR3-8G_1T</t>
  </si>
  <si>
    <t>H16C</t>
  </si>
  <si>
    <t>交换机_商用_S1730S-S24P4S-A2_二层_RJ45+SFP_POE_</t>
  </si>
  <si>
    <t>工控机配件_一体机支架_400×290×1800mm</t>
  </si>
  <si>
    <t>传感器电缆_5111212-3m</t>
  </si>
  <si>
    <t>输入输出模块_EPM16DP</t>
  </si>
  <si>
    <t>刷卡器_R-IC1</t>
  </si>
  <si>
    <t>编程电缆_CP1H-3M_USB</t>
  </si>
  <si>
    <t>串口以太网转换器_RAD-MOON</t>
  </si>
  <si>
    <t>传感器电缆_MT2-OW3000</t>
  </si>
  <si>
    <t>测力传感器_SBF-16KN</t>
  </si>
  <si>
    <t>工控机_IPPC-1705W_IMB-H61_Intel-i5_8G-DDR4_</t>
  </si>
  <si>
    <t>服务器_SR658_64GB-DDR4_4×1.2TB_730-8i</t>
  </si>
  <si>
    <t>XS30</t>
  </si>
  <si>
    <t>李晓玲</t>
  </si>
  <si>
    <t>电磁感应器_LT20SNO2DNOA-E2-1001</t>
  </si>
  <si>
    <t>X166</t>
  </si>
  <si>
    <t>交换机_工业_TL-SF1008_一层_RJ45_POE_网管</t>
  </si>
  <si>
    <t>工控机_IPC-510_AIMB-708G2_I7-12700_16G_512G</t>
  </si>
  <si>
    <t>SZ51</t>
  </si>
  <si>
    <t xml:space="preserve">深圳市比亚迪供应链管理有限公司
</t>
  </si>
  <si>
    <t>压力传感器_XJC-S08-20T</t>
  </si>
  <si>
    <t>HFF7</t>
  </si>
  <si>
    <t>位移传感器_DL50-N2228</t>
  </si>
  <si>
    <t xml:space="preserve">A151
</t>
  </si>
  <si>
    <t>输出模块_6ES7522-1BL10-0AA0</t>
  </si>
  <si>
    <t xml:space="preserve">JNF8
</t>
  </si>
  <si>
    <t>工控机_IPC-810_ECO-1818_I7-6700_16G_500G_19</t>
  </si>
  <si>
    <t>FZF6</t>
  </si>
  <si>
    <t>工控机_PPHC-104TE-SJ_/_I5-4310M_4G_120G_10.</t>
  </si>
  <si>
    <t>工控机_IPC-310_ECO-1818_I5-6500_DDR4-16G_96</t>
  </si>
  <si>
    <t>输出模块_XL-E32YT</t>
  </si>
  <si>
    <t>FZF1</t>
  </si>
  <si>
    <t>压力传感器_LRM-2KN</t>
  </si>
  <si>
    <t>通讯模块_BSM-0404RB</t>
  </si>
  <si>
    <t>工控机_IPC-610L_EAMB-1580_I7-7700_16G_1TB机械</t>
  </si>
  <si>
    <t>测力传感器_NS-TH17A-20kg-24-I-0-L-2M</t>
  </si>
  <si>
    <t>信号转换器_DSP-V1-B</t>
  </si>
  <si>
    <t>C162</t>
  </si>
  <si>
    <t>交换机_工业_FL-SWITCH-1012NT-2SFP_二层
_RJ45_POE</t>
  </si>
  <si>
    <t>交换机_工业_TL-SF1005_二层_RJ45_非POE_非网管</t>
  </si>
  <si>
    <t>输入输出模块_DRT2-OD16</t>
  </si>
  <si>
    <t>通讯模块_KE350-0608830264
2024.05.28 PCS
10 16607947026 备
件采购王小强</t>
  </si>
  <si>
    <t>工控机_IPC-510-705G2-6500_AIMB-705G2_I5-870</t>
  </si>
  <si>
    <t>徐燕燕</t>
  </si>
  <si>
    <t>研华工控机I7CPU,16G内存，250G固态硬盘，1T机械硬
P2311029机械硬盘4T不含显示
盘，配21寸显示器，无线鼠标、键盘</t>
  </si>
  <si>
    <t>JD-2024-03-26-004695955</t>
  </si>
  <si>
    <t>报价5955 合同价6500</t>
  </si>
  <si>
    <t>IPC-510/250W/AIMB-506G2/I7-8700/16G/256GSSD/1TB HHD/无线键盘鼠标/A0C 21寸显示器/3网¥Win10 2019 LTSC ENTR盘</t>
  </si>
  <si>
    <t>JD-2024-07-08-01449</t>
  </si>
  <si>
    <t>报价5280 合同价6000</t>
  </si>
  <si>
    <t>路远</t>
  </si>
  <si>
    <t>研祥工控机IPC-710/E00-1818/15-6500//8G/500G固态硬盘/键盘鼠标/AOC24寸（24B10M）</t>
  </si>
  <si>
    <t>XB20240328001</t>
  </si>
  <si>
    <t>5000－4353＝647 
647*0.13＝84
（647－84）*10＝5630</t>
  </si>
  <si>
    <t>霍尼韦尔1900GHD手持式工业扫描枪高密版有线连接</t>
  </si>
  <si>
    <t>HN20240424001</t>
  </si>
  <si>
    <t>（合同价1250-报价900）/1.13*10=3097</t>
  </si>
  <si>
    <t>HN20240822001</t>
  </si>
  <si>
    <t>5000－4235＝765 
765*0.13＝99.45
（765－99.45）*10＝6655.5</t>
  </si>
  <si>
    <t>（合同价1250-报价900）/1.13*10=3045</t>
  </si>
  <si>
    <t>研禅IPC-710/ECO1828/300W/I5-12500/16G/512G SSD</t>
  </si>
  <si>
    <t>5800－5030＝770
770*0.13＝100.1
（770－100.1）*10＝6699</t>
  </si>
  <si>
    <t>（合同价1200-报价900）/1.13*10=2610</t>
  </si>
  <si>
    <t>HN20240911002</t>
  </si>
  <si>
    <t>（合同价1100-报价900）/1.13*5=885</t>
  </si>
  <si>
    <t>文彦杰</t>
  </si>
  <si>
    <t>京东</t>
  </si>
  <si>
    <t>骧腾智能数据采集终端IC-M10A</t>
  </si>
  <si>
    <t xml:space="preserve">290794446423/291441552907/291397088577/291587117350/291127671923/291597322574/291824852227/291412827536/292043690606/292281030720
</t>
  </si>
  <si>
    <t>桂林周自雄</t>
  </si>
  <si>
    <t>骧腾工控一体机IPPC-1512W15英寸触摸屏</t>
  </si>
  <si>
    <t>286352346992/290420207298</t>
  </si>
  <si>
    <t>骧腾安卓工业平板电脑IPPC-1800L18.5英寸多点触控屏</t>
  </si>
  <si>
    <t>291278035907/291224439598/291226474169/291855060623/291803036876</t>
  </si>
  <si>
    <t>合杰（HEROJE）工业手持扫描器DP-102.4GHz无线</t>
  </si>
  <si>
    <t>295065030561/295077103500/295095360172
293264840350/296092912743/293482945523
296928044226/294119202714</t>
  </si>
  <si>
    <t>一部金属工厂</t>
  </si>
  <si>
    <t>XT/骧腾手持智能终端H67镭雕+纸质版二维码个</t>
  </si>
  <si>
    <t xml:space="preserve">一部金属工厂雷泽 </t>
  </si>
  <si>
    <t>5016307745/5017480609/5016626518</t>
  </si>
  <si>
    <t>深汕空调工厂</t>
  </si>
  <si>
    <t>骧腾工控一体机IPPC-175L17英寸多点触控16GB+512GB</t>
  </si>
  <si>
    <t xml:space="preserve">290532166928/291029302211/291078093287/290500323380/291068389379
</t>
  </si>
  <si>
    <t>软件升级</t>
  </si>
  <si>
    <t>钟贤写的软件目前需要增加新功能</t>
  </si>
  <si>
    <t>郑州云来机械设备有限公司</t>
  </si>
  <si>
    <t>H29CW</t>
  </si>
  <si>
    <t>HN20241012001</t>
  </si>
  <si>
    <t>日期</t>
  </si>
  <si>
    <t>龙工订单未税订单到4月底</t>
  </si>
  <si>
    <t>3个点</t>
  </si>
  <si>
    <t>1月份已付</t>
  </si>
  <si>
    <t>已付</t>
  </si>
  <si>
    <t>23年</t>
  </si>
  <si>
    <t>安全门锁陈工订单未税金额</t>
  </si>
  <si>
    <t>平工到4月底订单未税金额</t>
  </si>
  <si>
    <t>2个点</t>
  </si>
  <si>
    <t>8/14已付</t>
  </si>
  <si>
    <t>12/3已付</t>
  </si>
  <si>
    <t>1/24已付</t>
  </si>
  <si>
    <t>23年到24年</t>
  </si>
  <si>
    <t>志奋领2023年未税订单</t>
  </si>
  <si>
    <t>1个点</t>
  </si>
  <si>
    <t>4月份已付</t>
  </si>
  <si>
    <t>志奋领2024年4月底未税订单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</si>
</sst>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yyyy/m/d;@"/>
    <numFmt numFmtId="179" formatCode="m&quot;月&quot;d&quot;日&quot;;@"/>
  </numFmts>
  <fonts count="42">
    <font>
      <sz val="11"/>
      <color theme="1"/>
      <name val="等线"/>
      <charset val="134"/>
      <scheme val="minor"/>
    </font>
    <font>
      <sz val="12"/>
      <name val="宋体"/>
      <charset val="134"/>
    </font>
    <font>
      <sz val="9"/>
      <color theme="1"/>
      <name val="新宋体"/>
      <charset val="134"/>
    </font>
    <font>
      <b/>
      <sz val="9"/>
      <color theme="1"/>
      <name val="新宋体"/>
      <charset val="134"/>
    </font>
    <font>
      <sz val="9"/>
      <name val="新宋体"/>
      <charset val="134"/>
    </font>
    <font>
      <b/>
      <sz val="9"/>
      <color rgb="FFFF0000"/>
      <name val="新宋体"/>
      <charset val="134"/>
    </font>
    <font>
      <sz val="9"/>
      <color rgb="FFFF0000"/>
      <name val="新宋体"/>
      <charset val="134"/>
    </font>
    <font>
      <sz val="9"/>
      <color rgb="FF333333"/>
      <name val="新宋体"/>
      <charset val="134"/>
    </font>
    <font>
      <sz val="9"/>
      <color indexed="8"/>
      <name val="新宋体"/>
      <charset val="134"/>
    </font>
    <font>
      <sz val="9"/>
      <color indexed="8"/>
      <name val="新宋体"/>
      <charset val="0"/>
    </font>
    <font>
      <sz val="9"/>
      <color indexed="10"/>
      <name val="新宋体"/>
      <charset val="134"/>
    </font>
    <font>
      <sz val="11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rgb="FF333333"/>
      <name val="Microsoft YaHei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333333"/>
      <name val="宋体"/>
      <charset val="134"/>
    </font>
    <font>
      <sz val="9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16" applyNumberFormat="0" applyAlignment="0" applyProtection="0">
      <alignment vertical="center"/>
    </xf>
    <xf numFmtId="0" fontId="30" fillId="9" borderId="17" applyNumberFormat="0" applyAlignment="0" applyProtection="0">
      <alignment vertical="center"/>
    </xf>
    <xf numFmtId="0" fontId="31" fillId="9" borderId="16" applyNumberFormat="0" applyAlignment="0" applyProtection="0">
      <alignment vertical="center"/>
    </xf>
    <xf numFmtId="0" fontId="32" fillId="10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</cellStyleXfs>
  <cellXfs count="29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vertical="center"/>
    </xf>
    <xf numFmtId="176" fontId="0" fillId="0" borderId="0" xfId="0" applyNumberFormat="1" applyBorder="1" applyAlignme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58" fontId="1" fillId="0" borderId="1" xfId="0" applyNumberFormat="1" applyFont="1" applyFill="1" applyBorder="1" applyAlignment="1">
      <alignment vertical="center"/>
    </xf>
    <xf numFmtId="176" fontId="0" fillId="0" borderId="1" xfId="0" applyNumberFormat="1" applyBorder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vertical="center"/>
    </xf>
    <xf numFmtId="58" fontId="2" fillId="0" borderId="1" xfId="0" applyNumberFormat="1" applyFont="1" applyFill="1" applyBorder="1">
      <alignment vertical="center"/>
    </xf>
    <xf numFmtId="58" fontId="2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77" fontId="4" fillId="0" borderId="1" xfId="0" applyNumberFormat="1" applyFont="1" applyFill="1" applyBorder="1">
      <alignment vertical="center"/>
    </xf>
    <xf numFmtId="10" fontId="6" fillId="0" borderId="1" xfId="0" applyNumberFormat="1" applyFont="1" applyFill="1" applyBorder="1">
      <alignment vertical="center"/>
    </xf>
    <xf numFmtId="177" fontId="2" fillId="0" borderId="1" xfId="0" applyNumberFormat="1" applyFont="1" applyFill="1" applyBorder="1">
      <alignment vertical="center"/>
    </xf>
    <xf numFmtId="9" fontId="2" fillId="0" borderId="2" xfId="3" applyFont="1" applyFill="1" applyBorder="1" applyAlignment="1" applyProtection="1">
      <alignment horizontal="center" vertical="center"/>
      <protection hidden="1"/>
    </xf>
    <xf numFmtId="9" fontId="2" fillId="0" borderId="3" xfId="3" applyFont="1" applyFill="1" applyBorder="1" applyAlignment="1" applyProtection="1">
      <alignment horizontal="center" vertical="center"/>
      <protection hidden="1"/>
    </xf>
    <xf numFmtId="9" fontId="2" fillId="0" borderId="4" xfId="3" applyFont="1" applyFill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9" fontId="2" fillId="0" borderId="5" xfId="3" applyFont="1" applyFill="1" applyBorder="1" applyAlignment="1" applyProtection="1">
      <alignment horizontal="center" vertical="center"/>
      <protection hidden="1"/>
    </xf>
    <xf numFmtId="9" fontId="2" fillId="0" borderId="6" xfId="3" applyFont="1" applyFill="1" applyBorder="1" applyAlignment="1" applyProtection="1">
      <alignment horizontal="center" vertical="center"/>
      <protection hidden="1"/>
    </xf>
    <xf numFmtId="9" fontId="2" fillId="0" borderId="7" xfId="3" applyFont="1" applyFill="1" applyBorder="1" applyAlignment="1" applyProtection="1">
      <alignment horizontal="center" vertical="center"/>
      <protection hidden="1"/>
    </xf>
    <xf numFmtId="9" fontId="2" fillId="0" borderId="0" xfId="3" applyFont="1" applyFill="1" applyBorder="1" applyAlignment="1" applyProtection="1">
      <alignment horizontal="center" vertical="center"/>
      <protection hidden="1"/>
    </xf>
    <xf numFmtId="0" fontId="2" fillId="0" borderId="8" xfId="0" applyFont="1" applyFill="1" applyBorder="1" applyAlignment="1" applyProtection="1">
      <alignment horizontal="center" vertical="center"/>
      <protection hidden="1"/>
    </xf>
    <xf numFmtId="9" fontId="2" fillId="0" borderId="1" xfId="3" applyFont="1" applyFill="1" applyBorder="1" applyAlignment="1" applyProtection="1">
      <alignment horizontal="left" vertical="center" wrapText="1"/>
      <protection hidden="1"/>
    </xf>
    <xf numFmtId="0" fontId="2" fillId="0" borderId="1" xfId="0" applyFont="1" applyFill="1" applyBorder="1" applyAlignment="1" applyProtection="1">
      <alignment horizontal="left" vertical="center" wrapText="1" shrinkToFit="1"/>
      <protection hidden="1"/>
    </xf>
    <xf numFmtId="10" fontId="2" fillId="0" borderId="1" xfId="3" applyNumberFormat="1" applyFont="1" applyFill="1" applyBorder="1" applyAlignment="1" applyProtection="1">
      <alignment horizontal="left" vertical="center" wrapText="1" shrinkToFit="1"/>
      <protection hidden="1"/>
    </xf>
    <xf numFmtId="0" fontId="2" fillId="0" borderId="1" xfId="0" applyFont="1" applyFill="1" applyBorder="1" applyAlignment="1" applyProtection="1">
      <alignment horizontal="left" vertical="center" wrapText="1"/>
      <protection hidden="1"/>
    </xf>
    <xf numFmtId="0" fontId="4" fillId="0" borderId="1" xfId="0" applyFont="1" applyFill="1" applyBorder="1" applyAlignment="1">
      <alignment horizontal="right" vertical="center" wrapText="1"/>
    </xf>
    <xf numFmtId="10" fontId="4" fillId="0" borderId="1" xfId="3" applyNumberFormat="1" applyFont="1" applyFill="1" applyBorder="1" applyAlignment="1" applyProtection="1">
      <alignment horizontal="right" vertical="center"/>
    </xf>
    <xf numFmtId="10" fontId="4" fillId="0" borderId="1" xfId="3" applyNumberFormat="1" applyFont="1" applyFill="1" applyBorder="1" applyAlignment="1" applyProtection="1">
      <alignment horizontal="right" vertical="center"/>
      <protection hidden="1"/>
    </xf>
    <xf numFmtId="9" fontId="4" fillId="0" borderId="1" xfId="3" applyFont="1" applyFill="1" applyBorder="1" applyAlignment="1" applyProtection="1">
      <alignment horizontal="right" vertical="center"/>
      <protection hidden="1"/>
    </xf>
    <xf numFmtId="9" fontId="4" fillId="0" borderId="1" xfId="3" applyNumberFormat="1" applyFont="1" applyFill="1" applyBorder="1" applyAlignment="1" applyProtection="1">
      <alignment horizontal="right" vertical="center"/>
      <protection hidden="1"/>
    </xf>
    <xf numFmtId="10" fontId="4" fillId="0" borderId="1" xfId="3" applyNumberFormat="1" applyFont="1" applyFill="1" applyBorder="1" applyAlignment="1" applyProtection="1">
      <alignment horizontal="right" vertical="center" shrinkToFit="1"/>
      <protection hidden="1"/>
    </xf>
    <xf numFmtId="0" fontId="4" fillId="0" borderId="1" xfId="0" applyFont="1" applyFill="1" applyBorder="1" applyAlignment="1" applyProtection="1">
      <alignment horizontal="right" vertical="center"/>
      <protection hidden="1"/>
    </xf>
    <xf numFmtId="0" fontId="2" fillId="0" borderId="0" xfId="0" applyFont="1" applyFill="1" applyAlignment="1">
      <alignment horizontal="right" vertical="center"/>
    </xf>
    <xf numFmtId="0" fontId="2" fillId="0" borderId="8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right" vertical="center" wrapText="1"/>
    </xf>
    <xf numFmtId="10" fontId="4" fillId="0" borderId="1" xfId="3" applyNumberFormat="1" applyFont="1" applyFill="1" applyBorder="1" applyAlignment="1">
      <alignment horizontal="right" vertical="center" shrinkToFi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77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7" fontId="2" fillId="0" borderId="1" xfId="0" applyNumberFormat="1" applyFont="1" applyBorder="1" applyAlignment="1">
      <alignment horizontal="left" vertical="center" wrapText="1"/>
    </xf>
    <xf numFmtId="10" fontId="6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77" fontId="4" fillId="0" borderId="1" xfId="0" applyNumberFormat="1" applyFont="1" applyBorder="1">
      <alignment vertical="center"/>
    </xf>
    <xf numFmtId="10" fontId="6" fillId="0" borderId="1" xfId="0" applyNumberFormat="1" applyFont="1" applyBorder="1" applyAlignment="1">
      <alignment horizontal="left" vertical="center"/>
    </xf>
    <xf numFmtId="9" fontId="2" fillId="3" borderId="2" xfId="3" applyFont="1" applyFill="1" applyBorder="1" applyAlignment="1" applyProtection="1">
      <alignment horizontal="center" vertical="center"/>
      <protection hidden="1"/>
    </xf>
    <xf numFmtId="9" fontId="2" fillId="3" borderId="3" xfId="3" applyFont="1" applyFill="1" applyBorder="1" applyAlignment="1" applyProtection="1">
      <alignment horizontal="center" vertical="center"/>
      <protection hidden="1"/>
    </xf>
    <xf numFmtId="9" fontId="2" fillId="3" borderId="4" xfId="3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9" fontId="2" fillId="3" borderId="5" xfId="3" applyFont="1" applyFill="1" applyBorder="1" applyAlignment="1" applyProtection="1">
      <alignment horizontal="center" vertical="center"/>
      <protection hidden="1"/>
    </xf>
    <xf numFmtId="9" fontId="2" fillId="3" borderId="6" xfId="3" applyFont="1" applyFill="1" applyBorder="1" applyAlignment="1" applyProtection="1">
      <alignment horizontal="center" vertical="center"/>
      <protection hidden="1"/>
    </xf>
    <xf numFmtId="9" fontId="2" fillId="3" borderId="7" xfId="3" applyFont="1" applyFill="1" applyBorder="1" applyAlignment="1" applyProtection="1">
      <alignment horizontal="center" vertical="center"/>
      <protection hidden="1"/>
    </xf>
    <xf numFmtId="9" fontId="2" fillId="3" borderId="0" xfId="3" applyFont="1" applyFill="1" applyBorder="1" applyAlignment="1" applyProtection="1">
      <alignment horizontal="center" vertical="center"/>
      <protection hidden="1"/>
    </xf>
    <xf numFmtId="0" fontId="2" fillId="3" borderId="8" xfId="0" applyFont="1" applyFill="1" applyBorder="1" applyAlignment="1" applyProtection="1">
      <alignment horizontal="center" vertical="center"/>
      <protection hidden="1"/>
    </xf>
    <xf numFmtId="9" fontId="2" fillId="3" borderId="1" xfId="3" applyFont="1" applyFill="1" applyBorder="1" applyAlignment="1" applyProtection="1">
      <alignment horizontal="left" vertical="center" wrapText="1"/>
      <protection hidden="1"/>
    </xf>
    <xf numFmtId="0" fontId="2" fillId="3" borderId="1" xfId="0" applyFont="1" applyFill="1" applyBorder="1" applyAlignment="1" applyProtection="1">
      <alignment horizontal="left" vertical="center" wrapText="1" shrinkToFit="1"/>
      <protection hidden="1"/>
    </xf>
    <xf numFmtId="10" fontId="2" fillId="3" borderId="1" xfId="3" applyNumberFormat="1" applyFont="1" applyFill="1" applyBorder="1" applyAlignment="1" applyProtection="1">
      <alignment horizontal="left" vertical="center" wrapText="1" shrinkToFit="1"/>
      <protection hidden="1"/>
    </xf>
    <xf numFmtId="0" fontId="2" fillId="3" borderId="1" xfId="0" applyFont="1" applyFill="1" applyBorder="1" applyAlignment="1" applyProtection="1">
      <alignment horizontal="left" vertical="center" wrapText="1"/>
      <protection hidden="1"/>
    </xf>
    <xf numFmtId="0" fontId="4" fillId="0" borderId="1" xfId="0" applyFont="1" applyBorder="1" applyAlignment="1">
      <alignment horizontal="right" vertical="center" wrapText="1"/>
    </xf>
    <xf numFmtId="10" fontId="4" fillId="4" borderId="1" xfId="3" applyNumberFormat="1" applyFont="1" applyFill="1" applyBorder="1" applyAlignment="1" applyProtection="1">
      <alignment horizontal="right" vertical="center"/>
      <protection hidden="1"/>
    </xf>
    <xf numFmtId="9" fontId="4" fillId="4" borderId="1" xfId="3" applyFont="1" applyFill="1" applyBorder="1" applyAlignment="1" applyProtection="1">
      <alignment horizontal="right" vertical="center"/>
      <protection hidden="1"/>
    </xf>
    <xf numFmtId="9" fontId="4" fillId="4" borderId="1" xfId="3" applyNumberFormat="1" applyFont="1" applyFill="1" applyBorder="1" applyAlignment="1" applyProtection="1">
      <alignment horizontal="right" vertical="center"/>
      <protection hidden="1"/>
    </xf>
    <xf numFmtId="10" fontId="4" fillId="4" borderId="1" xfId="3" applyNumberFormat="1" applyFont="1" applyFill="1" applyBorder="1" applyAlignment="1" applyProtection="1">
      <alignment horizontal="right" vertical="center" shrinkToFit="1"/>
      <protection hidden="1"/>
    </xf>
    <xf numFmtId="0" fontId="4" fillId="3" borderId="1" xfId="0" applyFont="1" applyFill="1" applyBorder="1" applyAlignment="1" applyProtection="1">
      <alignment horizontal="right" vertical="center"/>
      <protection hidden="1"/>
    </xf>
    <xf numFmtId="0" fontId="2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10" fontId="4" fillId="3" borderId="1" xfId="3" applyNumberFormat="1" applyFont="1" applyFill="1" applyBorder="1" applyAlignment="1">
      <alignment horizontal="right" vertical="center" shrinkToFit="1"/>
    </xf>
    <xf numFmtId="0" fontId="4" fillId="3" borderId="1" xfId="0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1" xfId="0" applyFont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4" fillId="5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7" fontId="2" fillId="0" borderId="1" xfId="0" applyNumberFormat="1" applyFont="1" applyBorder="1">
      <alignment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left" vertical="center"/>
    </xf>
    <xf numFmtId="0" fontId="2" fillId="5" borderId="1" xfId="0" applyFont="1" applyFill="1" applyBorder="1">
      <alignment vertical="center"/>
    </xf>
    <xf numFmtId="0" fontId="4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/>
    </xf>
    <xf numFmtId="177" fontId="2" fillId="5" borderId="1" xfId="0" applyNumberFormat="1" applyFont="1" applyFill="1" applyBorder="1">
      <alignment vertical="center"/>
    </xf>
    <xf numFmtId="177" fontId="4" fillId="5" borderId="1" xfId="0" applyNumberFormat="1" applyFont="1" applyFill="1" applyBorder="1" applyAlignment="1">
      <alignment horizontal="center" vertical="center"/>
    </xf>
    <xf numFmtId="177" fontId="4" fillId="5" borderId="1" xfId="0" applyNumberFormat="1" applyFont="1" applyFill="1" applyBorder="1">
      <alignment vertical="center"/>
    </xf>
    <xf numFmtId="10" fontId="6" fillId="5" borderId="1" xfId="0" applyNumberFormat="1" applyFont="1" applyFill="1" applyBorder="1" applyAlignment="1">
      <alignment horizontal="left" vertical="center"/>
    </xf>
    <xf numFmtId="0" fontId="4" fillId="5" borderId="1" xfId="0" applyFont="1" applyFill="1" applyBorder="1">
      <alignment vertical="center"/>
    </xf>
    <xf numFmtId="3" fontId="4" fillId="0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right" vertical="center" wrapText="1"/>
    </xf>
    <xf numFmtId="10" fontId="4" fillId="5" borderId="1" xfId="3" applyNumberFormat="1" applyFont="1" applyFill="1" applyBorder="1" applyAlignment="1" applyProtection="1">
      <alignment horizontal="right" vertical="center"/>
    </xf>
    <xf numFmtId="10" fontId="4" fillId="5" borderId="1" xfId="3" applyNumberFormat="1" applyFont="1" applyFill="1" applyBorder="1" applyAlignment="1" applyProtection="1">
      <alignment horizontal="right" vertical="center"/>
      <protection hidden="1"/>
    </xf>
    <xf numFmtId="9" fontId="4" fillId="5" borderId="1" xfId="3" applyFont="1" applyFill="1" applyBorder="1" applyAlignment="1" applyProtection="1">
      <alignment horizontal="right" vertical="center"/>
      <protection hidden="1"/>
    </xf>
    <xf numFmtId="9" fontId="4" fillId="5" borderId="1" xfId="3" applyNumberFormat="1" applyFont="1" applyFill="1" applyBorder="1" applyAlignment="1" applyProtection="1">
      <alignment horizontal="right" vertical="center"/>
      <protection hidden="1"/>
    </xf>
    <xf numFmtId="10" fontId="4" fillId="5" borderId="1" xfId="3" applyNumberFormat="1" applyFont="1" applyFill="1" applyBorder="1" applyAlignment="1" applyProtection="1">
      <alignment horizontal="right" vertical="center" shrinkToFit="1"/>
      <protection hidden="1"/>
    </xf>
    <xf numFmtId="10" fontId="4" fillId="5" borderId="1" xfId="3" applyNumberFormat="1" applyFont="1" applyFill="1" applyBorder="1" applyAlignment="1">
      <alignment horizontal="right" vertical="center" shrinkToFit="1"/>
    </xf>
    <xf numFmtId="0" fontId="4" fillId="5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177" fontId="3" fillId="5" borderId="1" xfId="0" applyNumberFormat="1" applyFont="1" applyFill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177" fontId="0" fillId="0" borderId="0" xfId="0" applyNumberForma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9" fontId="0" fillId="0" borderId="0" xfId="3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 shrinkToFit="1"/>
      <protection hidden="1"/>
    </xf>
    <xf numFmtId="10" fontId="0" fillId="0" borderId="0" xfId="3" applyNumberFormat="1" applyFill="1" applyAlignment="1" applyProtection="1">
      <alignment horizontal="right" vertical="center" shrinkToFi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0" xfId="0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9" fontId="0" fillId="0" borderId="9" xfId="0" applyNumberFormat="1" applyBorder="1" applyAlignment="1">
      <alignment horizontal="center" vertical="center" wrapText="1"/>
    </xf>
    <xf numFmtId="0" fontId="13" fillId="0" borderId="1" xfId="0" applyFont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3" fillId="0" borderId="9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177" fontId="12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177" fontId="0" fillId="0" borderId="1" xfId="0" applyNumberFormat="1" applyBorder="1" applyAlignment="1">
      <alignment horizontal="center" vertical="center" wrapText="1"/>
    </xf>
    <xf numFmtId="10" fontId="11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177" fontId="13" fillId="0" borderId="1" xfId="0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9" fontId="0" fillId="0" borderId="2" xfId="3" applyFont="1" applyFill="1" applyBorder="1" applyAlignment="1" applyProtection="1">
      <alignment horizontal="center" vertical="center"/>
      <protection hidden="1"/>
    </xf>
    <xf numFmtId="9" fontId="0" fillId="3" borderId="2" xfId="3" applyFont="1" applyFill="1" applyBorder="1" applyAlignment="1" applyProtection="1">
      <alignment horizontal="center" vertical="center"/>
      <protection hidden="1"/>
    </xf>
    <xf numFmtId="9" fontId="0" fillId="3" borderId="3" xfId="3" applyFont="1" applyFill="1" applyBorder="1" applyAlignment="1" applyProtection="1">
      <alignment horizontal="center" vertical="center"/>
      <protection hidden="1"/>
    </xf>
    <xf numFmtId="9" fontId="0" fillId="3" borderId="4" xfId="3" applyFont="1" applyFill="1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9" fontId="0" fillId="0" borderId="5" xfId="3" applyFont="1" applyFill="1" applyBorder="1" applyAlignment="1" applyProtection="1">
      <alignment horizontal="center" vertical="center"/>
      <protection hidden="1"/>
    </xf>
    <xf numFmtId="9" fontId="0" fillId="3" borderId="5" xfId="3" applyFont="1" applyFill="1" applyBorder="1" applyAlignment="1" applyProtection="1">
      <alignment horizontal="center" vertical="center"/>
      <protection hidden="1"/>
    </xf>
    <xf numFmtId="9" fontId="0" fillId="3" borderId="6" xfId="3" applyFont="1" applyFill="1" applyBorder="1" applyAlignment="1" applyProtection="1">
      <alignment horizontal="center" vertical="center"/>
      <protection hidden="1"/>
    </xf>
    <xf numFmtId="9" fontId="0" fillId="3" borderId="7" xfId="3" applyFont="1" applyFill="1" applyBorder="1" applyAlignment="1" applyProtection="1">
      <alignment horizontal="center" vertical="center"/>
      <protection hidden="1"/>
    </xf>
    <xf numFmtId="9" fontId="0" fillId="3" borderId="0" xfId="3" applyFont="1" applyFill="1" applyBorder="1" applyAlignment="1" applyProtection="1">
      <alignment horizontal="center" vertical="center"/>
      <protection hidden="1"/>
    </xf>
    <xf numFmtId="0" fontId="0" fillId="3" borderId="8" xfId="0" applyFill="1" applyBorder="1" applyAlignment="1" applyProtection="1">
      <alignment horizontal="center" vertical="center"/>
      <protection hidden="1"/>
    </xf>
    <xf numFmtId="9" fontId="0" fillId="0" borderId="1" xfId="3" applyFill="1" applyBorder="1" applyAlignment="1" applyProtection="1">
      <alignment horizontal="left" vertical="center" wrapText="1"/>
      <protection hidden="1"/>
    </xf>
    <xf numFmtId="9" fontId="0" fillId="3" borderId="1" xfId="3" applyFill="1" applyBorder="1" applyAlignment="1" applyProtection="1">
      <alignment horizontal="left" vertical="center" wrapText="1"/>
      <protection hidden="1"/>
    </xf>
    <xf numFmtId="0" fontId="15" fillId="3" borderId="1" xfId="0" applyFont="1" applyFill="1" applyBorder="1" applyAlignment="1" applyProtection="1">
      <alignment horizontal="left" vertical="center" wrapText="1" shrinkToFit="1"/>
      <protection hidden="1"/>
    </xf>
    <xf numFmtId="10" fontId="0" fillId="3" borderId="1" xfId="3" applyNumberFormat="1" applyFill="1" applyBorder="1" applyAlignment="1" applyProtection="1">
      <alignment horizontal="left" vertical="center" wrapText="1" shrinkToFit="1"/>
      <protection hidden="1"/>
    </xf>
    <xf numFmtId="0" fontId="0" fillId="3" borderId="1" xfId="0" applyFill="1" applyBorder="1" applyAlignment="1" applyProtection="1">
      <alignment horizontal="left" vertical="center" wrapText="1"/>
      <protection hidden="1"/>
    </xf>
    <xf numFmtId="177" fontId="13" fillId="0" borderId="1" xfId="0" applyNumberFormat="1" applyFont="1" applyBorder="1" applyAlignment="1">
      <alignment horizontal="center" vertical="center" wrapText="1"/>
    </xf>
    <xf numFmtId="10" fontId="13" fillId="0" borderId="1" xfId="3" applyNumberFormat="1" applyFont="1" applyFill="1" applyBorder="1" applyAlignment="1" applyProtection="1">
      <alignment horizontal="center" vertical="center"/>
    </xf>
    <xf numFmtId="10" fontId="13" fillId="0" borderId="1" xfId="3" applyNumberFormat="1" applyFont="1" applyFill="1" applyBorder="1" applyAlignment="1" applyProtection="1">
      <alignment horizontal="right" vertical="center"/>
      <protection hidden="1"/>
    </xf>
    <xf numFmtId="9" fontId="13" fillId="4" borderId="1" xfId="3" applyFont="1" applyFill="1" applyBorder="1" applyAlignment="1" applyProtection="1">
      <alignment horizontal="right" vertical="center"/>
      <protection hidden="1"/>
    </xf>
    <xf numFmtId="10" fontId="13" fillId="4" borderId="1" xfId="3" applyNumberFormat="1" applyFont="1" applyFill="1" applyBorder="1" applyAlignment="1" applyProtection="1">
      <alignment horizontal="right" vertical="center"/>
      <protection hidden="1"/>
    </xf>
    <xf numFmtId="10" fontId="13" fillId="4" borderId="1" xfId="3" applyNumberFormat="1" applyFont="1" applyFill="1" applyBorder="1" applyAlignment="1" applyProtection="1">
      <alignment horizontal="right" vertical="center" shrinkToFit="1"/>
      <protection hidden="1"/>
    </xf>
    <xf numFmtId="0" fontId="13" fillId="3" borderId="1" xfId="0" applyFont="1" applyFill="1" applyBorder="1" applyAlignment="1" applyProtection="1">
      <alignment horizontal="right" vertical="center"/>
      <protection hidden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10" fontId="13" fillId="3" borderId="1" xfId="3" applyNumberFormat="1" applyFont="1" applyFill="1" applyBorder="1" applyAlignment="1">
      <alignment horizontal="right" vertical="center" shrinkToFit="1"/>
    </xf>
    <xf numFmtId="0" fontId="13" fillId="3" borderId="1" xfId="0" applyFont="1" applyFill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7" fillId="0" borderId="1" xfId="0" applyFont="1" applyFill="1" applyBorder="1" applyAlignment="1">
      <alignment horizontal="center" vertical="center" wrapText="1"/>
    </xf>
    <xf numFmtId="17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0" fontId="13" fillId="0" borderId="8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  <xf numFmtId="0" fontId="13" fillId="0" borderId="0" xfId="0" applyFont="1">
      <alignment vertical="center"/>
    </xf>
    <xf numFmtId="0" fontId="13" fillId="6" borderId="0" xfId="0" applyFont="1" applyFill="1">
      <alignment vertical="center"/>
    </xf>
    <xf numFmtId="10" fontId="0" fillId="0" borderId="0" xfId="0" applyNumberFormat="1" applyAlignment="1">
      <alignment horizontal="right" vertical="center"/>
    </xf>
    <xf numFmtId="58" fontId="13" fillId="0" borderId="1" xfId="0" applyNumberFormat="1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58" fontId="13" fillId="0" borderId="1" xfId="0" applyNumberFormat="1" applyFont="1" applyBorder="1" applyAlignment="1">
      <alignment horizontal="left" vertical="center"/>
    </xf>
    <xf numFmtId="0" fontId="13" fillId="6" borderId="1" xfId="0" applyFont="1" applyFill="1" applyBorder="1" applyAlignment="1">
      <alignment horizontal="left" vertical="center"/>
    </xf>
    <xf numFmtId="58" fontId="13" fillId="6" borderId="1" xfId="0" applyNumberFormat="1" applyFont="1" applyFill="1" applyBorder="1" applyAlignment="1">
      <alignment horizontal="left" vertical="center"/>
    </xf>
    <xf numFmtId="58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10" fontId="0" fillId="0" borderId="1" xfId="0" applyNumberFormat="1" applyBorder="1" applyAlignment="1">
      <alignment horizontal="left" vertical="center" wrapText="1"/>
    </xf>
    <xf numFmtId="0" fontId="13" fillId="0" borderId="1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right" vertical="center"/>
    </xf>
    <xf numFmtId="10" fontId="13" fillId="0" borderId="1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horizontal="left" vertical="center"/>
    </xf>
    <xf numFmtId="1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20" fillId="0" borderId="1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10" fontId="13" fillId="0" borderId="1" xfId="0" applyNumberFormat="1" applyFont="1" applyBorder="1" applyAlignment="1">
      <alignment horizontal="right" vertical="center" wrapText="1"/>
    </xf>
    <xf numFmtId="0" fontId="13" fillId="6" borderId="1" xfId="0" applyFont="1" applyFill="1" applyBorder="1" applyAlignment="1">
      <alignment horizontal="right" vertical="center"/>
    </xf>
    <xf numFmtId="10" fontId="13" fillId="6" borderId="1" xfId="0" applyNumberFormat="1" applyFont="1" applyFill="1" applyBorder="1" applyAlignment="1">
      <alignment horizontal="right" vertical="center"/>
    </xf>
    <xf numFmtId="0" fontId="13" fillId="6" borderId="1" xfId="0" applyFont="1" applyFill="1" applyBorder="1" applyAlignment="1">
      <alignment horizontal="right" vertical="center" wrapText="1"/>
    </xf>
    <xf numFmtId="0" fontId="0" fillId="0" borderId="1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16" fillId="0" borderId="1" xfId="0" applyFont="1" applyBorder="1" applyAlignment="1">
      <alignment horizontal="left" vertical="center" wrapText="1"/>
    </xf>
    <xf numFmtId="10" fontId="13" fillId="0" borderId="1" xfId="3" applyNumberFormat="1" applyFont="1" applyFill="1" applyBorder="1" applyAlignment="1" applyProtection="1">
      <alignment horizontal="right" vertical="center"/>
    </xf>
    <xf numFmtId="0" fontId="13" fillId="0" borderId="1" xfId="0" applyFont="1" applyBorder="1" applyAlignment="1" applyProtection="1">
      <alignment horizontal="right" vertical="center"/>
      <protection hidden="1"/>
    </xf>
    <xf numFmtId="10" fontId="13" fillId="0" borderId="1" xfId="3" applyNumberFormat="1" applyFont="1" applyFill="1" applyBorder="1" applyAlignment="1">
      <alignment horizontal="right" vertical="center" shrinkToFit="1"/>
    </xf>
    <xf numFmtId="0" fontId="20" fillId="0" borderId="1" xfId="0" applyFont="1" applyBorder="1" applyAlignment="1">
      <alignment horizontal="right" vertical="center" wrapText="1"/>
    </xf>
    <xf numFmtId="10" fontId="0" fillId="0" borderId="1" xfId="3" applyNumberFormat="1" applyFill="1" applyBorder="1" applyAlignment="1" applyProtection="1">
      <alignment horizontal="right" vertical="center"/>
    </xf>
    <xf numFmtId="10" fontId="0" fillId="0" borderId="1" xfId="3" applyNumberFormat="1" applyFill="1" applyBorder="1" applyAlignment="1">
      <alignment horizontal="right" vertical="center" shrinkToFit="1"/>
    </xf>
    <xf numFmtId="0" fontId="16" fillId="0" borderId="1" xfId="0" applyFont="1" applyBorder="1" applyAlignment="1">
      <alignment horizontal="right" vertical="center" wrapText="1"/>
    </xf>
    <xf numFmtId="57" fontId="13" fillId="0" borderId="0" xfId="0" applyNumberFormat="1" applyFont="1">
      <alignment vertical="center"/>
    </xf>
    <xf numFmtId="10" fontId="13" fillId="0" borderId="1" xfId="3" applyNumberFormat="1" applyFont="1" applyFill="1" applyBorder="1" applyAlignment="1" applyProtection="1">
      <alignment horizontal="right" vertical="center" wrapText="1"/>
    </xf>
    <xf numFmtId="10" fontId="13" fillId="6" borderId="1" xfId="3" applyNumberFormat="1" applyFont="1" applyFill="1" applyBorder="1" applyAlignment="1" applyProtection="1">
      <alignment horizontal="right" vertical="center"/>
    </xf>
    <xf numFmtId="0" fontId="13" fillId="6" borderId="1" xfId="0" applyFont="1" applyFill="1" applyBorder="1" applyAlignment="1" applyProtection="1">
      <alignment horizontal="right" vertical="center"/>
      <protection hidden="1"/>
    </xf>
    <xf numFmtId="10" fontId="13" fillId="6" borderId="1" xfId="3" applyNumberFormat="1" applyFont="1" applyFill="1" applyBorder="1" applyAlignment="1">
      <alignment horizontal="right" vertical="center" shrinkToFit="1"/>
    </xf>
    <xf numFmtId="0" fontId="13" fillId="6" borderId="0" xfId="0" applyFont="1" applyFill="1" applyAlignment="1">
      <alignment horizontal="right" vertical="center"/>
    </xf>
    <xf numFmtId="57" fontId="13" fillId="6" borderId="0" xfId="0" applyNumberFormat="1" applyFont="1" applyFill="1">
      <alignment vertical="center"/>
    </xf>
    <xf numFmtId="0" fontId="13" fillId="6" borderId="1" xfId="0" applyFont="1" applyFill="1" applyBorder="1" applyAlignment="1">
      <alignment horizontal="left" vertical="center" wrapText="1"/>
    </xf>
    <xf numFmtId="14" fontId="13" fillId="0" borderId="1" xfId="0" applyNumberFormat="1" applyFont="1" applyBorder="1" applyAlignment="1">
      <alignment horizontal="left" vertical="center"/>
    </xf>
    <xf numFmtId="10" fontId="13" fillId="6" borderId="1" xfId="0" applyNumberFormat="1" applyFont="1" applyFill="1" applyBorder="1" applyAlignment="1">
      <alignment horizontal="right" vertical="center" wrapText="1"/>
    </xf>
    <xf numFmtId="10" fontId="13" fillId="0" borderId="1" xfId="0" applyNumberFormat="1" applyFont="1" applyBorder="1">
      <alignment vertical="center"/>
    </xf>
    <xf numFmtId="4" fontId="13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vertical="center" wrapText="1"/>
    </xf>
    <xf numFmtId="10" fontId="13" fillId="6" borderId="1" xfId="3" applyNumberFormat="1" applyFont="1" applyFill="1" applyBorder="1" applyAlignment="1" applyProtection="1">
      <alignment horizontal="right" vertical="center" wrapText="1"/>
    </xf>
    <xf numFmtId="10" fontId="13" fillId="6" borderId="1" xfId="3" applyNumberFormat="1" applyFont="1" applyFill="1" applyBorder="1" applyAlignment="1">
      <alignment horizontal="right" vertical="center" wrapText="1" shrinkToFit="1"/>
    </xf>
    <xf numFmtId="10" fontId="13" fillId="0" borderId="1" xfId="3" applyNumberFormat="1" applyFont="1" applyFill="1" applyBorder="1" applyProtection="1">
      <alignment vertical="center"/>
    </xf>
    <xf numFmtId="0" fontId="13" fillId="0" borderId="1" xfId="0" applyFont="1" applyBorder="1" applyProtection="1">
      <alignment vertical="center"/>
      <protection hidden="1"/>
    </xf>
    <xf numFmtId="0" fontId="13" fillId="0" borderId="8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00000000"/>
      <color rgb="00FFFFFF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27</xdr:col>
      <xdr:colOff>651510</xdr:colOff>
      <xdr:row>3</xdr:row>
      <xdr:rowOff>238125</xdr:rowOff>
    </xdr:from>
    <xdr:to>
      <xdr:col>27</xdr:col>
      <xdr:colOff>1235075</xdr:colOff>
      <xdr:row>4</xdr:row>
      <xdr:rowOff>431165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75320" y="968375"/>
          <a:ext cx="5835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93980</xdr:colOff>
      <xdr:row>4</xdr:row>
      <xdr:rowOff>52705</xdr:rowOff>
    </xdr:from>
    <xdr:to>
      <xdr:col>27</xdr:col>
      <xdr:colOff>577215</xdr:colOff>
      <xdr:row>4</xdr:row>
      <xdr:rowOff>429895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17790" y="1049655"/>
          <a:ext cx="483235" cy="377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651510</xdr:colOff>
      <xdr:row>4</xdr:row>
      <xdr:rowOff>238125</xdr:rowOff>
    </xdr:from>
    <xdr:to>
      <xdr:col>27</xdr:col>
      <xdr:colOff>1235075</xdr:colOff>
      <xdr:row>5</xdr:row>
      <xdr:rowOff>227965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75320" y="1235075"/>
          <a:ext cx="5835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93980</xdr:colOff>
      <xdr:row>5</xdr:row>
      <xdr:rowOff>52705</xdr:rowOff>
    </xdr:from>
    <xdr:to>
      <xdr:col>27</xdr:col>
      <xdr:colOff>577215</xdr:colOff>
      <xdr:row>5</xdr:row>
      <xdr:rowOff>429895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17790" y="1519555"/>
          <a:ext cx="483235" cy="3771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27422\Documents\WeChat%20Files\wxid_xamizfz5qc1612\FileStorage\File\2023-12\&#21830;&#21153;&#36153;&#29992;&#25253;&#22791;-&#27946;&#25991;&#279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pc\Desktop\&#21830;&#21153;&#36153;&#29992;&#25253;&#2279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pc\Desktop\&#21830;&#21153;&#36153;&#29992;&#25253;&#22791;_7b0a70ba-d9e5-4a88-9b91-71b6ddb6925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商务费用报备申请单"/>
      <sheetName val="商务费用支付申请"/>
    </sheetNames>
    <sheetDataSet>
      <sheetData sheetId="0"/>
      <sheetData sheetId="1">
        <row r="1">
          <cell r="A1" t="str">
            <v>报备编号</v>
          </cell>
          <cell r="B1" t="str">
            <v>订单号</v>
          </cell>
        </row>
        <row r="2">
          <cell r="A2">
            <v>230501</v>
          </cell>
          <cell r="B2" t="str">
            <v>700025XXX</v>
          </cell>
        </row>
        <row r="3">
          <cell r="B3">
            <v>5910125109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商务费用报备申请单"/>
      <sheetName val="商务费用支付申请"/>
    </sheetNames>
    <sheetDataSet>
      <sheetData sheetId="0" refreshError="1"/>
      <sheetData sheetId="1" refreshError="1">
        <row r="1">
          <cell r="A1" t="str">
            <v>报备编号</v>
          </cell>
          <cell r="B1" t="str">
            <v>订单号</v>
          </cell>
        </row>
        <row r="2">
          <cell r="A2">
            <v>230501</v>
          </cell>
          <cell r="B2" t="str">
            <v>700025XXX</v>
          </cell>
        </row>
        <row r="3">
          <cell r="B3">
            <v>5910125109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商务费用报备申请单"/>
      <sheetName val="商务费用支付申请"/>
    </sheetNames>
    <sheetDataSet>
      <sheetData sheetId="0"/>
      <sheetData sheetId="1">
        <row r="1">
          <cell r="A1" t="str">
            <v>报备编号</v>
          </cell>
        </row>
        <row r="1">
          <cell r="C1" t="str">
            <v>商务费用</v>
          </cell>
        </row>
        <row r="2">
          <cell r="A2">
            <v>230501</v>
          </cell>
        </row>
        <row r="2">
          <cell r="C2">
            <v>10000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8"/>
  <sheetViews>
    <sheetView workbookViewId="0">
      <pane ySplit="3" topLeftCell="A122" activePane="bottomLeft" state="frozen"/>
      <selection/>
      <selection pane="bottomLeft" activeCell="K164" sqref="K164"/>
    </sheetView>
  </sheetViews>
  <sheetFormatPr defaultColWidth="9" defaultRowHeight="14.25" customHeight="1"/>
  <cols>
    <col min="1" max="1" width="9.75" style="11" customWidth="1"/>
    <col min="2" max="2" width="11.9166666666667" style="11" customWidth="1"/>
    <col min="3" max="3" width="9.5" style="11" customWidth="1"/>
    <col min="4" max="4" width="15" style="11" customWidth="1"/>
    <col min="5" max="5" width="12.5833333333333" style="11" customWidth="1"/>
    <col min="6" max="6" width="9" style="11"/>
    <col min="7" max="7" width="9.08333333333333" style="11"/>
    <col min="8" max="8" width="8.33333333333333" style="11" customWidth="1"/>
    <col min="9" max="9" width="14.25" style="11" customWidth="1"/>
    <col min="10" max="10" width="9" style="174"/>
    <col min="11" max="11" width="8" style="174" customWidth="1"/>
    <col min="12" max="12" width="9" style="174"/>
    <col min="13" max="13" width="12.5833333333333" style="174"/>
    <col min="14" max="14" width="9.25" style="248" customWidth="1"/>
    <col min="15" max="15" width="8.41666666666667" style="174" customWidth="1"/>
    <col min="16" max="16" width="11" style="174" customWidth="1"/>
    <col min="17" max="17" width="11.25" style="174" customWidth="1"/>
    <col min="18" max="18" width="10.9166666666667" style="173" customWidth="1"/>
    <col min="19" max="19" width="6.16666666666667" style="174" customWidth="1"/>
    <col min="20" max="20" width="14.75" style="174" customWidth="1"/>
    <col min="21" max="21" width="8.91666666666667" style="174" customWidth="1"/>
    <col min="22" max="22" width="9" hidden="1" customWidth="1"/>
    <col min="23" max="23" width="14.0833333333333" customWidth="1"/>
    <col min="24" max="24" width="13.3333333333333"/>
    <col min="25" max="25" width="12.5833333333333"/>
  </cols>
  <sheetData>
    <row r="1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255"/>
      <c r="K1" s="255"/>
      <c r="L1" s="255"/>
      <c r="M1" s="255"/>
      <c r="N1" s="255"/>
      <c r="O1" s="255"/>
      <c r="P1" s="255"/>
      <c r="Q1" s="255"/>
      <c r="R1" s="269" t="s">
        <v>1</v>
      </c>
      <c r="S1" s="255"/>
      <c r="T1" s="255"/>
    </row>
    <row r="2" customHeight="1" spans="1:20">
      <c r="A2" s="7"/>
      <c r="B2" s="7"/>
      <c r="C2" s="7"/>
      <c r="D2" s="7"/>
      <c r="E2" s="7"/>
      <c r="F2" s="7"/>
      <c r="G2" s="7"/>
      <c r="H2" s="7"/>
      <c r="I2" s="7"/>
      <c r="J2" s="255"/>
      <c r="K2" s="255"/>
      <c r="L2" s="255"/>
      <c r="M2" s="255"/>
      <c r="N2" s="255"/>
      <c r="O2" s="255"/>
      <c r="P2" s="255"/>
      <c r="Q2" s="255"/>
      <c r="R2" s="269"/>
      <c r="S2" s="255"/>
      <c r="T2" s="255"/>
    </row>
    <row r="3" s="163" customFormat="1" ht="30" customHeight="1" spans="1:24">
      <c r="A3" s="178" t="s">
        <v>2</v>
      </c>
      <c r="B3" s="178" t="s">
        <v>3</v>
      </c>
      <c r="C3" s="178" t="s">
        <v>4</v>
      </c>
      <c r="D3" s="178" t="s">
        <v>5</v>
      </c>
      <c r="E3" s="178" t="s">
        <v>6</v>
      </c>
      <c r="F3" s="178" t="s">
        <v>7</v>
      </c>
      <c r="G3" s="178" t="s">
        <v>8</v>
      </c>
      <c r="H3" s="178" t="s">
        <v>9</v>
      </c>
      <c r="I3" s="178" t="s">
        <v>10</v>
      </c>
      <c r="J3" s="178" t="s">
        <v>11</v>
      </c>
      <c r="K3" s="178" t="s">
        <v>12</v>
      </c>
      <c r="L3" s="178" t="s">
        <v>13</v>
      </c>
      <c r="M3" s="178" t="s">
        <v>14</v>
      </c>
      <c r="N3" s="256" t="s">
        <v>15</v>
      </c>
      <c r="O3" s="178" t="s">
        <v>16</v>
      </c>
      <c r="P3" s="178" t="s">
        <v>17</v>
      </c>
      <c r="Q3" s="178" t="s">
        <v>18</v>
      </c>
      <c r="R3" s="270" t="s">
        <v>19</v>
      </c>
      <c r="S3" s="178" t="s">
        <v>20</v>
      </c>
      <c r="T3" s="271" t="s">
        <v>21</v>
      </c>
      <c r="U3" s="226" t="s">
        <v>22</v>
      </c>
      <c r="X3" s="163" t="s">
        <v>23</v>
      </c>
    </row>
    <row r="4" s="246" customFormat="1" customHeight="1" spans="1:23">
      <c r="A4" s="193">
        <v>20221001</v>
      </c>
      <c r="B4" s="194" t="s">
        <v>24</v>
      </c>
      <c r="C4" s="193" t="s">
        <v>25</v>
      </c>
      <c r="D4" s="194" t="s">
        <v>26</v>
      </c>
      <c r="E4" s="194" t="s">
        <v>27</v>
      </c>
      <c r="F4" s="194"/>
      <c r="G4" s="249">
        <v>45241</v>
      </c>
      <c r="H4" s="250" t="s">
        <v>28</v>
      </c>
      <c r="I4" s="194" t="s">
        <v>29</v>
      </c>
      <c r="J4" s="257">
        <v>30</v>
      </c>
      <c r="K4" s="257">
        <v>5963</v>
      </c>
      <c r="L4" s="257">
        <v>8045</v>
      </c>
      <c r="M4" s="258">
        <f t="shared" ref="M4:M29" si="0">L4-K4</f>
        <v>2082</v>
      </c>
      <c r="N4" s="259">
        <f t="shared" ref="N4:N29" si="1">IF(AND($M4&lt;&gt;0,$L4&lt;&gt;0),$M4/$L4,"")</f>
        <v>0.258794282162834</v>
      </c>
      <c r="O4" s="257">
        <v>100</v>
      </c>
      <c r="P4" s="257">
        <f>O4*J4</f>
        <v>3000</v>
      </c>
      <c r="Q4" s="272">
        <f>IF(AND($O4&lt;&gt;0,$L4&lt;&gt;0),$O4/$L4,"")</f>
        <v>0.0124300807955252</v>
      </c>
      <c r="R4" s="273" t="str">
        <f>IFERROR(SUMIF(#REF!,$A4,#REF!),"")</f>
        <v/>
      </c>
      <c r="S4" s="274" t="e">
        <f t="shared" ref="S4:S29" si="2">IF(AND(($M4*$J4-$R4)&lt;&gt;0,($L4*$J4)&lt;&gt;0),($M4*$J4-$R4)/($L4*$J4),"")</f>
        <v>#VALUE!</v>
      </c>
      <c r="T4" s="275">
        <v>4100123256</v>
      </c>
      <c r="U4" s="229" t="e">
        <f>R4-P4</f>
        <v>#VALUE!</v>
      </c>
      <c r="V4" s="246">
        <v>14</v>
      </c>
      <c r="W4" s="246" t="s">
        <v>30</v>
      </c>
    </row>
    <row r="5" customHeight="1" spans="1:23">
      <c r="A5" s="7">
        <v>20221002</v>
      </c>
      <c r="B5" s="7" t="s">
        <v>31</v>
      </c>
      <c r="C5" s="7" t="s">
        <v>32</v>
      </c>
      <c r="D5" s="7" t="s">
        <v>33</v>
      </c>
      <c r="E5" s="7" t="s">
        <v>34</v>
      </c>
      <c r="F5" s="7"/>
      <c r="G5" s="7" t="s">
        <v>35</v>
      </c>
      <c r="H5" s="7" t="s">
        <v>36</v>
      </c>
      <c r="I5" s="260" t="s">
        <v>37</v>
      </c>
      <c r="J5" s="255">
        <v>425</v>
      </c>
      <c r="K5" s="255">
        <v>575.22</v>
      </c>
      <c r="L5" s="255">
        <v>1395</v>
      </c>
      <c r="M5" s="255">
        <f t="shared" si="0"/>
        <v>819.78</v>
      </c>
      <c r="N5" s="261">
        <f t="shared" si="1"/>
        <v>0.587655913978495</v>
      </c>
      <c r="O5" s="255">
        <v>80000</v>
      </c>
      <c r="P5" s="262">
        <f>O5</f>
        <v>80000</v>
      </c>
      <c r="Q5" s="276">
        <v>0.3648</v>
      </c>
      <c r="R5" s="269" t="str">
        <f>IFERROR(SUMIF(#REF!,$A5,#REF!),"")</f>
        <v/>
      </c>
      <c r="S5" s="277" t="e">
        <f t="shared" si="2"/>
        <v>#VALUE!</v>
      </c>
      <c r="T5" s="278">
        <v>5909650426</v>
      </c>
      <c r="U5" s="174" t="e">
        <f t="shared" ref="U5:U68" si="3">R5-P5</f>
        <v>#VALUE!</v>
      </c>
      <c r="V5" t="s">
        <v>38</v>
      </c>
      <c r="W5" t="s">
        <v>39</v>
      </c>
    </row>
    <row r="6" s="246" customFormat="1" customHeight="1" spans="1:24">
      <c r="A6" s="193">
        <v>20221201</v>
      </c>
      <c r="B6" s="193" t="s">
        <v>40</v>
      </c>
      <c r="C6" s="193" t="s">
        <v>25</v>
      </c>
      <c r="D6" s="193" t="s">
        <v>41</v>
      </c>
      <c r="E6" s="193" t="s">
        <v>42</v>
      </c>
      <c r="F6" s="193"/>
      <c r="G6" s="251">
        <v>45260</v>
      </c>
      <c r="H6" s="194" t="s">
        <v>43</v>
      </c>
      <c r="I6" s="193" t="s">
        <v>44</v>
      </c>
      <c r="J6" s="258">
        <v>183</v>
      </c>
      <c r="K6" s="258">
        <v>2300</v>
      </c>
      <c r="L6" s="258">
        <v>4070</v>
      </c>
      <c r="M6" s="258">
        <f t="shared" si="0"/>
        <v>1770</v>
      </c>
      <c r="N6" s="259">
        <f t="shared" si="1"/>
        <v>0.434889434889435</v>
      </c>
      <c r="O6" s="258">
        <v>100</v>
      </c>
      <c r="P6" s="257">
        <f>O6*J6</f>
        <v>18300</v>
      </c>
      <c r="Q6" s="272">
        <f>IF(AND($O6&lt;&gt;0,$L6&lt;&gt;0),$O6/$L6,"")</f>
        <v>0.0245700245700246</v>
      </c>
      <c r="R6" s="273" t="str">
        <f>IFERROR(SUMIF(#REF!,$A6,#REF!),"")</f>
        <v/>
      </c>
      <c r="S6" s="274" t="e">
        <f t="shared" si="2"/>
        <v>#VALUE!</v>
      </c>
      <c r="T6" s="275" t="s">
        <v>45</v>
      </c>
      <c r="U6" s="229" t="e">
        <f t="shared" si="3"/>
        <v>#VALUE!</v>
      </c>
      <c r="W6" s="246" t="s">
        <v>46</v>
      </c>
      <c r="X6" s="279">
        <v>45161</v>
      </c>
    </row>
    <row r="7" s="246" customFormat="1" customHeight="1" spans="1:24">
      <c r="A7" s="193">
        <v>20221202</v>
      </c>
      <c r="B7" s="193" t="s">
        <v>40</v>
      </c>
      <c r="C7" s="193" t="s">
        <v>25</v>
      </c>
      <c r="D7" s="193" t="s">
        <v>41</v>
      </c>
      <c r="E7" s="193" t="s">
        <v>42</v>
      </c>
      <c r="F7" s="194"/>
      <c r="G7" s="249">
        <v>44976</v>
      </c>
      <c r="H7" s="250" t="s">
        <v>47</v>
      </c>
      <c r="I7" s="194" t="s">
        <v>48</v>
      </c>
      <c r="J7" s="257">
        <v>196</v>
      </c>
      <c r="K7" s="257">
        <v>5310</v>
      </c>
      <c r="L7" s="257">
        <v>7064</v>
      </c>
      <c r="M7" s="258">
        <f t="shared" si="0"/>
        <v>1754</v>
      </c>
      <c r="N7" s="259">
        <f t="shared" si="1"/>
        <v>0.248301245753114</v>
      </c>
      <c r="O7" s="257">
        <v>100</v>
      </c>
      <c r="P7" s="257">
        <f t="shared" ref="P7:P50" si="4">O7*J7</f>
        <v>19600</v>
      </c>
      <c r="Q7" s="272">
        <f t="shared" ref="Q7:Q29" si="5">IF(AND($O7&lt;&gt;0,$L7&lt;&gt;0),$O7/$L7,"")</f>
        <v>0.0141562853907135</v>
      </c>
      <c r="R7" s="273" t="str">
        <f>IFERROR(SUMIF(#REF!,$A7,#REF!),"")</f>
        <v/>
      </c>
      <c r="S7" s="274" t="e">
        <f t="shared" si="2"/>
        <v>#VALUE!</v>
      </c>
      <c r="T7" s="275">
        <v>7200008206</v>
      </c>
      <c r="U7" s="229" t="e">
        <f t="shared" si="3"/>
        <v>#VALUE!</v>
      </c>
      <c r="V7" s="246">
        <v>13</v>
      </c>
      <c r="W7" s="246" t="s">
        <v>49</v>
      </c>
      <c r="X7" s="279"/>
    </row>
    <row r="8" s="246" customFormat="1" customHeight="1" spans="1:24">
      <c r="A8" s="193">
        <v>20230201</v>
      </c>
      <c r="B8" s="193" t="s">
        <v>50</v>
      </c>
      <c r="C8" s="193" t="s">
        <v>25</v>
      </c>
      <c r="D8" s="193" t="s">
        <v>51</v>
      </c>
      <c r="E8" s="193" t="s">
        <v>52</v>
      </c>
      <c r="F8" s="193"/>
      <c r="G8" s="193" t="s">
        <v>53</v>
      </c>
      <c r="H8" s="193" t="s">
        <v>54</v>
      </c>
      <c r="I8" s="263" t="s">
        <v>55</v>
      </c>
      <c r="J8" s="258">
        <v>50</v>
      </c>
      <c r="K8" s="258">
        <v>3200</v>
      </c>
      <c r="L8" s="258">
        <v>4750</v>
      </c>
      <c r="M8" s="258">
        <f t="shared" si="0"/>
        <v>1550</v>
      </c>
      <c r="N8" s="259">
        <f t="shared" si="1"/>
        <v>0.326315789473684</v>
      </c>
      <c r="O8" s="258">
        <v>150</v>
      </c>
      <c r="P8" s="257">
        <f t="shared" si="4"/>
        <v>7500</v>
      </c>
      <c r="Q8" s="272">
        <f t="shared" si="5"/>
        <v>0.0315789473684211</v>
      </c>
      <c r="R8" s="273" t="str">
        <f>IFERROR(SUMIF(#REF!,$A8,#REF!),"")</f>
        <v/>
      </c>
      <c r="S8" s="274" t="e">
        <f t="shared" si="2"/>
        <v>#VALUE!</v>
      </c>
      <c r="T8" s="275">
        <v>7200008156</v>
      </c>
      <c r="U8" s="229" t="e">
        <f t="shared" si="3"/>
        <v>#VALUE!</v>
      </c>
      <c r="V8" s="246">
        <v>6</v>
      </c>
      <c r="W8" s="246" t="s">
        <v>56</v>
      </c>
      <c r="X8" s="279"/>
    </row>
    <row r="9" s="246" customFormat="1" customHeight="1" spans="1:24">
      <c r="A9" s="193">
        <v>20230202</v>
      </c>
      <c r="B9" s="193" t="s">
        <v>50</v>
      </c>
      <c r="C9" s="193" t="s">
        <v>25</v>
      </c>
      <c r="D9" s="193" t="s">
        <v>51</v>
      </c>
      <c r="E9" s="193" t="s">
        <v>52</v>
      </c>
      <c r="F9" s="193"/>
      <c r="G9" s="193" t="s">
        <v>53</v>
      </c>
      <c r="H9" s="193" t="s">
        <v>54</v>
      </c>
      <c r="I9" s="263" t="s">
        <v>55</v>
      </c>
      <c r="J9" s="258">
        <v>70</v>
      </c>
      <c r="K9" s="258">
        <v>3200</v>
      </c>
      <c r="L9" s="258">
        <v>4750</v>
      </c>
      <c r="M9" s="258">
        <f t="shared" si="0"/>
        <v>1550</v>
      </c>
      <c r="N9" s="259">
        <f t="shared" si="1"/>
        <v>0.326315789473684</v>
      </c>
      <c r="O9" s="258">
        <v>150</v>
      </c>
      <c r="P9" s="257">
        <f t="shared" si="4"/>
        <v>10500</v>
      </c>
      <c r="Q9" s="272">
        <f t="shared" si="5"/>
        <v>0.0315789473684211</v>
      </c>
      <c r="R9" s="273" t="str">
        <f>IFERROR(SUMIF(#REF!,$A9,#REF!),"")</f>
        <v/>
      </c>
      <c r="S9" s="274" t="e">
        <f t="shared" si="2"/>
        <v>#VALUE!</v>
      </c>
      <c r="T9" s="275">
        <v>7200008156</v>
      </c>
      <c r="U9" s="229" t="e">
        <f t="shared" si="3"/>
        <v>#VALUE!</v>
      </c>
      <c r="V9" s="246">
        <v>7</v>
      </c>
      <c r="W9" s="246" t="s">
        <v>56</v>
      </c>
      <c r="X9" s="279"/>
    </row>
    <row r="10" s="246" customFormat="1" customHeight="1" spans="1:24">
      <c r="A10" s="193">
        <v>20230301</v>
      </c>
      <c r="B10" s="193" t="s">
        <v>57</v>
      </c>
      <c r="C10" s="193" t="s">
        <v>25</v>
      </c>
      <c r="D10" s="193" t="s">
        <v>58</v>
      </c>
      <c r="E10" s="193" t="s">
        <v>59</v>
      </c>
      <c r="F10" s="193"/>
      <c r="G10" s="251">
        <v>44929</v>
      </c>
      <c r="H10" s="193" t="s">
        <v>54</v>
      </c>
      <c r="I10" s="263" t="s">
        <v>60</v>
      </c>
      <c r="J10" s="258">
        <v>60</v>
      </c>
      <c r="K10" s="258">
        <v>2641</v>
      </c>
      <c r="L10" s="258">
        <v>3847</v>
      </c>
      <c r="M10" s="258">
        <f t="shared" si="0"/>
        <v>1206</v>
      </c>
      <c r="N10" s="259">
        <f t="shared" si="1"/>
        <v>0.313491031972966</v>
      </c>
      <c r="O10" s="258">
        <v>100</v>
      </c>
      <c r="P10" s="257">
        <f t="shared" si="4"/>
        <v>6000</v>
      </c>
      <c r="Q10" s="272">
        <f t="shared" si="5"/>
        <v>0.0259942812581232</v>
      </c>
      <c r="R10" s="273" t="str">
        <f>IFERROR(SUMIF(#REF!,$A10,#REF!),"")</f>
        <v/>
      </c>
      <c r="S10" s="274" t="e">
        <f t="shared" si="2"/>
        <v>#VALUE!</v>
      </c>
      <c r="T10" s="275">
        <v>4100139159</v>
      </c>
      <c r="U10" s="229" t="e">
        <f t="shared" si="3"/>
        <v>#VALUE!</v>
      </c>
      <c r="V10" s="246">
        <v>8</v>
      </c>
      <c r="W10" s="246" t="s">
        <v>56</v>
      </c>
      <c r="X10" s="279"/>
    </row>
    <row r="11" s="246" customFormat="1" customHeight="1" spans="1:24">
      <c r="A11" s="193">
        <v>20230302</v>
      </c>
      <c r="B11" s="193" t="s">
        <v>57</v>
      </c>
      <c r="C11" s="193" t="s">
        <v>25</v>
      </c>
      <c r="D11" s="193" t="s">
        <v>58</v>
      </c>
      <c r="E11" s="193" t="s">
        <v>59</v>
      </c>
      <c r="F11" s="193"/>
      <c r="G11" s="251">
        <v>44966</v>
      </c>
      <c r="H11" s="193" t="s">
        <v>54</v>
      </c>
      <c r="I11" s="263" t="s">
        <v>61</v>
      </c>
      <c r="J11" s="258">
        <v>4</v>
      </c>
      <c r="K11" s="258">
        <v>2942</v>
      </c>
      <c r="L11" s="258">
        <v>4243</v>
      </c>
      <c r="M11" s="258">
        <f t="shared" si="0"/>
        <v>1301</v>
      </c>
      <c r="N11" s="259">
        <f t="shared" si="1"/>
        <v>0.306622672637285</v>
      </c>
      <c r="O11" s="258">
        <v>100</v>
      </c>
      <c r="P11" s="257">
        <f t="shared" si="4"/>
        <v>400</v>
      </c>
      <c r="Q11" s="272">
        <f t="shared" si="5"/>
        <v>0.0235682300259251</v>
      </c>
      <c r="R11" s="273" t="str">
        <f>IFERROR(SUMIF(#REF!,$A11,#REF!),"")</f>
        <v/>
      </c>
      <c r="S11" s="274" t="e">
        <f t="shared" si="2"/>
        <v>#VALUE!</v>
      </c>
      <c r="T11" s="275">
        <v>4100140707</v>
      </c>
      <c r="U11" s="229" t="e">
        <f t="shared" si="3"/>
        <v>#VALUE!</v>
      </c>
      <c r="V11" s="246">
        <v>9</v>
      </c>
      <c r="W11" s="246" t="s">
        <v>56</v>
      </c>
      <c r="X11" s="279"/>
    </row>
    <row r="12" s="246" customFormat="1" customHeight="1" spans="1:24">
      <c r="A12" s="193">
        <v>20230303</v>
      </c>
      <c r="B12" s="193" t="s">
        <v>57</v>
      </c>
      <c r="C12" s="193" t="s">
        <v>25</v>
      </c>
      <c r="D12" s="193" t="s">
        <v>58</v>
      </c>
      <c r="E12" s="193" t="s">
        <v>59</v>
      </c>
      <c r="F12" s="193"/>
      <c r="G12" s="251">
        <v>44973</v>
      </c>
      <c r="H12" s="193" t="s">
        <v>54</v>
      </c>
      <c r="I12" s="263" t="s">
        <v>61</v>
      </c>
      <c r="J12" s="258">
        <v>6</v>
      </c>
      <c r="K12" s="258">
        <v>2942</v>
      </c>
      <c r="L12" s="258">
        <v>4243</v>
      </c>
      <c r="M12" s="258">
        <f t="shared" si="0"/>
        <v>1301</v>
      </c>
      <c r="N12" s="259">
        <f t="shared" si="1"/>
        <v>0.306622672637285</v>
      </c>
      <c r="O12" s="258">
        <v>100</v>
      </c>
      <c r="P12" s="257">
        <f t="shared" si="4"/>
        <v>600</v>
      </c>
      <c r="Q12" s="272">
        <f t="shared" si="5"/>
        <v>0.0235682300259251</v>
      </c>
      <c r="R12" s="273" t="str">
        <f>IFERROR(SUMIF(#REF!,$A12,#REF!),"")</f>
        <v/>
      </c>
      <c r="S12" s="274" t="e">
        <f t="shared" si="2"/>
        <v>#VALUE!</v>
      </c>
      <c r="T12" s="275">
        <v>4100141497</v>
      </c>
      <c r="U12" s="229" t="e">
        <f t="shared" si="3"/>
        <v>#VALUE!</v>
      </c>
      <c r="V12" s="246">
        <v>10</v>
      </c>
      <c r="W12" s="246" t="s">
        <v>56</v>
      </c>
      <c r="X12" s="279"/>
    </row>
    <row r="13" s="246" customFormat="1" customHeight="1" spans="1:24">
      <c r="A13" s="193">
        <v>20230304</v>
      </c>
      <c r="B13" s="193" t="s">
        <v>57</v>
      </c>
      <c r="C13" s="193" t="s">
        <v>25</v>
      </c>
      <c r="D13" s="193" t="s">
        <v>58</v>
      </c>
      <c r="E13" s="193" t="s">
        <v>59</v>
      </c>
      <c r="F13" s="193"/>
      <c r="G13" s="251">
        <v>45014</v>
      </c>
      <c r="H13" s="194" t="s">
        <v>62</v>
      </c>
      <c r="I13" s="193" t="s">
        <v>63</v>
      </c>
      <c r="J13" s="258">
        <v>20</v>
      </c>
      <c r="K13" s="258">
        <v>1577</v>
      </c>
      <c r="L13" s="258">
        <v>3800</v>
      </c>
      <c r="M13" s="258">
        <f t="shared" si="0"/>
        <v>2223</v>
      </c>
      <c r="N13" s="259">
        <f t="shared" si="1"/>
        <v>0.585</v>
      </c>
      <c r="O13" s="258">
        <v>100</v>
      </c>
      <c r="P13" s="257">
        <f t="shared" si="4"/>
        <v>2000</v>
      </c>
      <c r="Q13" s="272">
        <f t="shared" si="5"/>
        <v>0.0263157894736842</v>
      </c>
      <c r="R13" s="273" t="str">
        <f>IFERROR(SUMIF(#REF!,$A13,#REF!),"")</f>
        <v/>
      </c>
      <c r="S13" s="274" t="e">
        <f t="shared" si="2"/>
        <v>#VALUE!</v>
      </c>
      <c r="T13" s="275">
        <v>5910165880</v>
      </c>
      <c r="U13" s="229" t="e">
        <f t="shared" si="3"/>
        <v>#VALUE!</v>
      </c>
      <c r="V13" s="246">
        <v>11</v>
      </c>
      <c r="W13" s="246" t="s">
        <v>56</v>
      </c>
      <c r="X13" s="279"/>
    </row>
    <row r="14" s="246" customFormat="1" customHeight="1" spans="1:24">
      <c r="A14" s="193">
        <v>20230305</v>
      </c>
      <c r="B14" s="193" t="s">
        <v>57</v>
      </c>
      <c r="C14" s="193" t="s">
        <v>25</v>
      </c>
      <c r="D14" s="193" t="s">
        <v>58</v>
      </c>
      <c r="E14" s="193" t="s">
        <v>59</v>
      </c>
      <c r="F14" s="193"/>
      <c r="G14" s="251">
        <v>45022</v>
      </c>
      <c r="H14" s="194" t="s">
        <v>64</v>
      </c>
      <c r="I14" s="193" t="s">
        <v>63</v>
      </c>
      <c r="J14" s="258">
        <v>10</v>
      </c>
      <c r="K14" s="258">
        <v>1677</v>
      </c>
      <c r="L14" s="258">
        <v>3800</v>
      </c>
      <c r="M14" s="258">
        <f t="shared" si="0"/>
        <v>2123</v>
      </c>
      <c r="N14" s="259">
        <f t="shared" si="1"/>
        <v>0.558684210526316</v>
      </c>
      <c r="O14" s="258">
        <v>100</v>
      </c>
      <c r="P14" s="257">
        <f t="shared" si="4"/>
        <v>1000</v>
      </c>
      <c r="Q14" s="272">
        <f t="shared" si="5"/>
        <v>0.0263157894736842</v>
      </c>
      <c r="R14" s="273" t="str">
        <f>IFERROR(SUMIF(#REF!,$A14,#REF!),"")</f>
        <v/>
      </c>
      <c r="S14" s="274" t="e">
        <f t="shared" si="2"/>
        <v>#VALUE!</v>
      </c>
      <c r="T14" s="275">
        <v>5910212160</v>
      </c>
      <c r="U14" s="229" t="e">
        <f t="shared" si="3"/>
        <v>#VALUE!</v>
      </c>
      <c r="V14" s="246">
        <v>12</v>
      </c>
      <c r="W14" s="246" t="s">
        <v>56</v>
      </c>
      <c r="X14" s="279"/>
    </row>
    <row r="15" s="246" customFormat="1" customHeight="1" spans="1:24">
      <c r="A15" s="193">
        <v>20230306</v>
      </c>
      <c r="B15" s="193" t="s">
        <v>57</v>
      </c>
      <c r="C15" s="193" t="s">
        <v>25</v>
      </c>
      <c r="D15" s="193" t="s">
        <v>58</v>
      </c>
      <c r="E15" s="193" t="s">
        <v>59</v>
      </c>
      <c r="F15" s="193"/>
      <c r="G15" s="251">
        <v>45022</v>
      </c>
      <c r="H15" s="194" t="s">
        <v>65</v>
      </c>
      <c r="I15" s="193" t="s">
        <v>66</v>
      </c>
      <c r="J15" s="258">
        <v>10</v>
      </c>
      <c r="K15" s="258">
        <v>1422</v>
      </c>
      <c r="L15" s="258">
        <v>3300</v>
      </c>
      <c r="M15" s="258">
        <f t="shared" si="0"/>
        <v>1878</v>
      </c>
      <c r="N15" s="259">
        <f t="shared" si="1"/>
        <v>0.569090909090909</v>
      </c>
      <c r="O15" s="258">
        <v>100</v>
      </c>
      <c r="P15" s="257">
        <f t="shared" si="4"/>
        <v>1000</v>
      </c>
      <c r="Q15" s="272">
        <f t="shared" si="5"/>
        <v>0.0303030303030303</v>
      </c>
      <c r="R15" s="273" t="str">
        <f>IFERROR(SUMIF(#REF!,$A15,#REF!),"")</f>
        <v/>
      </c>
      <c r="S15" s="274" t="e">
        <f t="shared" si="2"/>
        <v>#VALUE!</v>
      </c>
      <c r="T15" s="275">
        <v>5910212160</v>
      </c>
      <c r="U15" s="229" t="e">
        <f t="shared" si="3"/>
        <v>#VALUE!</v>
      </c>
      <c r="V15" s="246">
        <v>12</v>
      </c>
      <c r="W15" s="246" t="s">
        <v>56</v>
      </c>
      <c r="X15" s="279"/>
    </row>
    <row r="16" s="246" customFormat="1" customHeight="1" spans="1:24">
      <c r="A16" s="193">
        <v>20230307</v>
      </c>
      <c r="B16" s="193" t="s">
        <v>57</v>
      </c>
      <c r="C16" s="193" t="s">
        <v>25</v>
      </c>
      <c r="D16" s="193" t="s">
        <v>58</v>
      </c>
      <c r="E16" s="193" t="s">
        <v>59</v>
      </c>
      <c r="F16" s="193"/>
      <c r="G16" s="193"/>
      <c r="H16" s="194" t="s">
        <v>67</v>
      </c>
      <c r="I16" s="193" t="s">
        <v>66</v>
      </c>
      <c r="J16" s="258">
        <v>20</v>
      </c>
      <c r="K16" s="258">
        <v>1221</v>
      </c>
      <c r="L16" s="258">
        <v>3300</v>
      </c>
      <c r="M16" s="258">
        <f t="shared" si="0"/>
        <v>2079</v>
      </c>
      <c r="N16" s="259">
        <f t="shared" si="1"/>
        <v>0.63</v>
      </c>
      <c r="O16" s="258">
        <v>100</v>
      </c>
      <c r="P16" s="257">
        <f t="shared" si="4"/>
        <v>2000</v>
      </c>
      <c r="Q16" s="272">
        <f t="shared" si="5"/>
        <v>0.0303030303030303</v>
      </c>
      <c r="R16" s="273" t="str">
        <f>IFERROR(SUMIF(#REF!,$A16,#REF!),"")</f>
        <v/>
      </c>
      <c r="S16" s="274" t="e">
        <f t="shared" si="2"/>
        <v>#VALUE!</v>
      </c>
      <c r="T16" s="275" t="str">
        <f>IFERROR(VLOOKUP(A16,[1]商务费用支付申请!A:B,2,0),"")</f>
        <v/>
      </c>
      <c r="U16" s="229" t="e">
        <f t="shared" si="3"/>
        <v>#VALUE!</v>
      </c>
      <c r="X16" s="279"/>
    </row>
    <row r="17" s="246" customFormat="1" customHeight="1" spans="1:24">
      <c r="A17" s="193">
        <v>20230308</v>
      </c>
      <c r="B17" s="193" t="s">
        <v>68</v>
      </c>
      <c r="C17" s="193" t="s">
        <v>25</v>
      </c>
      <c r="D17" s="193" t="s">
        <v>58</v>
      </c>
      <c r="E17" s="193" t="s">
        <v>69</v>
      </c>
      <c r="F17" s="193"/>
      <c r="G17" s="251">
        <v>45006</v>
      </c>
      <c r="H17" s="193" t="s">
        <v>70</v>
      </c>
      <c r="I17" s="193" t="s">
        <v>70</v>
      </c>
      <c r="J17" s="258">
        <v>30</v>
      </c>
      <c r="K17" s="258">
        <v>557.52</v>
      </c>
      <c r="L17" s="258">
        <v>2059</v>
      </c>
      <c r="M17" s="258">
        <f t="shared" si="0"/>
        <v>1501.48</v>
      </c>
      <c r="N17" s="259">
        <f t="shared" si="1"/>
        <v>0.729227780475959</v>
      </c>
      <c r="O17" s="258">
        <v>100</v>
      </c>
      <c r="P17" s="257">
        <f t="shared" si="4"/>
        <v>3000</v>
      </c>
      <c r="Q17" s="272">
        <f t="shared" si="5"/>
        <v>0.0485672656629432</v>
      </c>
      <c r="R17" s="273" t="str">
        <f>IFERROR(SUMIF(#REF!,$A17,#REF!),"")</f>
        <v/>
      </c>
      <c r="S17" s="274" t="e">
        <f t="shared" si="2"/>
        <v>#VALUE!</v>
      </c>
      <c r="T17" s="275">
        <v>5910114772</v>
      </c>
      <c r="U17" s="229" t="e">
        <f t="shared" si="3"/>
        <v>#VALUE!</v>
      </c>
      <c r="V17" s="246">
        <v>6</v>
      </c>
      <c r="W17" s="246" t="s">
        <v>56</v>
      </c>
      <c r="X17" s="279"/>
    </row>
    <row r="18" s="246" customFormat="1" customHeight="1" spans="1:24">
      <c r="A18" s="193">
        <v>20230309</v>
      </c>
      <c r="B18" s="193" t="s">
        <v>71</v>
      </c>
      <c r="C18" s="193" t="s">
        <v>25</v>
      </c>
      <c r="D18" s="193" t="s">
        <v>72</v>
      </c>
      <c r="E18" s="193" t="s">
        <v>73</v>
      </c>
      <c r="F18" s="193"/>
      <c r="G18" s="251">
        <v>45013</v>
      </c>
      <c r="H18" s="193" t="s">
        <v>74</v>
      </c>
      <c r="I18" s="264" t="s">
        <v>74</v>
      </c>
      <c r="J18" s="258">
        <v>60</v>
      </c>
      <c r="K18" s="258">
        <v>700</v>
      </c>
      <c r="L18" s="258">
        <v>1290</v>
      </c>
      <c r="M18" s="258">
        <f t="shared" si="0"/>
        <v>590</v>
      </c>
      <c r="N18" s="259">
        <f t="shared" si="1"/>
        <v>0.457364341085271</v>
      </c>
      <c r="O18" s="258">
        <v>100</v>
      </c>
      <c r="P18" s="257">
        <f t="shared" si="4"/>
        <v>6000</v>
      </c>
      <c r="Q18" s="272">
        <f t="shared" si="5"/>
        <v>0.0775193798449612</v>
      </c>
      <c r="R18" s="273" t="str">
        <f>IFERROR(SUMIF(#REF!,$A18,#REF!),"")</f>
        <v/>
      </c>
      <c r="S18" s="274" t="e">
        <f t="shared" si="2"/>
        <v>#VALUE!</v>
      </c>
      <c r="T18" s="275">
        <v>5910156060</v>
      </c>
      <c r="U18" s="229" t="e">
        <f t="shared" si="3"/>
        <v>#VALUE!</v>
      </c>
      <c r="V18" s="246">
        <v>4</v>
      </c>
      <c r="W18" s="246" t="s">
        <v>30</v>
      </c>
      <c r="X18" s="279"/>
    </row>
    <row r="19" s="246" customFormat="1" customHeight="1" spans="1:24">
      <c r="A19" s="193">
        <v>20230310</v>
      </c>
      <c r="B19" s="193" t="s">
        <v>71</v>
      </c>
      <c r="C19" s="193" t="s">
        <v>25</v>
      </c>
      <c r="D19" s="193" t="s">
        <v>58</v>
      </c>
      <c r="E19" s="193" t="s">
        <v>69</v>
      </c>
      <c r="F19" s="193"/>
      <c r="G19" s="251">
        <v>45008</v>
      </c>
      <c r="H19" s="193" t="s">
        <v>70</v>
      </c>
      <c r="I19" s="193" t="s">
        <v>70</v>
      </c>
      <c r="J19" s="258">
        <v>10</v>
      </c>
      <c r="K19" s="258">
        <v>557.52</v>
      </c>
      <c r="L19" s="258">
        <v>2059</v>
      </c>
      <c r="M19" s="258">
        <f t="shared" si="0"/>
        <v>1501.48</v>
      </c>
      <c r="N19" s="259">
        <f t="shared" si="1"/>
        <v>0.729227780475959</v>
      </c>
      <c r="O19" s="258">
        <v>100</v>
      </c>
      <c r="P19" s="257">
        <f t="shared" si="4"/>
        <v>1000</v>
      </c>
      <c r="Q19" s="272">
        <f t="shared" si="5"/>
        <v>0.0485672656629432</v>
      </c>
      <c r="R19" s="273" t="str">
        <f>IFERROR(SUMIF(#REF!,$A19,#REF!),"")</f>
        <v/>
      </c>
      <c r="S19" s="274" t="e">
        <f t="shared" si="2"/>
        <v>#VALUE!</v>
      </c>
      <c r="T19" s="275">
        <v>5910125109</v>
      </c>
      <c r="U19" s="229" t="e">
        <f t="shared" si="3"/>
        <v>#VALUE!</v>
      </c>
      <c r="V19" s="246">
        <v>7</v>
      </c>
      <c r="W19" s="246" t="s">
        <v>56</v>
      </c>
      <c r="X19" s="279"/>
    </row>
    <row r="20" s="246" customFormat="1" customHeight="1" spans="1:24">
      <c r="A20" s="193">
        <v>20230401</v>
      </c>
      <c r="B20" s="193" t="s">
        <v>75</v>
      </c>
      <c r="C20" s="193" t="s">
        <v>25</v>
      </c>
      <c r="D20" s="193" t="s">
        <v>76</v>
      </c>
      <c r="E20" s="193" t="s">
        <v>77</v>
      </c>
      <c r="F20" s="193"/>
      <c r="G20" s="251">
        <v>45025</v>
      </c>
      <c r="H20" s="194" t="s">
        <v>78</v>
      </c>
      <c r="I20" s="193" t="s">
        <v>44</v>
      </c>
      <c r="J20" s="258">
        <v>30</v>
      </c>
      <c r="K20" s="258">
        <v>199</v>
      </c>
      <c r="L20" s="258">
        <v>565</v>
      </c>
      <c r="M20" s="258">
        <f t="shared" si="0"/>
        <v>366</v>
      </c>
      <c r="N20" s="265">
        <f t="shared" si="1"/>
        <v>0.647787610619469</v>
      </c>
      <c r="O20" s="258">
        <v>100</v>
      </c>
      <c r="P20" s="257">
        <f t="shared" si="4"/>
        <v>3000</v>
      </c>
      <c r="Q20" s="280">
        <f t="shared" si="5"/>
        <v>0.176991150442478</v>
      </c>
      <c r="R20" s="273" t="str">
        <f>IFERROR(SUMIF(#REF!,$A20,#REF!),"")</f>
        <v/>
      </c>
      <c r="S20" s="274" t="e">
        <f t="shared" si="2"/>
        <v>#VALUE!</v>
      </c>
      <c r="T20" s="275">
        <v>5013945501</v>
      </c>
      <c r="U20" s="229" t="e">
        <f t="shared" si="3"/>
        <v>#VALUE!</v>
      </c>
      <c r="V20" s="246">
        <v>13</v>
      </c>
      <c r="W20" s="246" t="s">
        <v>56</v>
      </c>
      <c r="X20" s="279"/>
    </row>
    <row r="21" s="246" customFormat="1" customHeight="1" spans="1:24">
      <c r="A21" s="193">
        <v>20230402</v>
      </c>
      <c r="B21" s="193" t="s">
        <v>79</v>
      </c>
      <c r="C21" s="193" t="s">
        <v>25</v>
      </c>
      <c r="D21" s="193" t="s">
        <v>72</v>
      </c>
      <c r="E21" s="193" t="s">
        <v>73</v>
      </c>
      <c r="F21" s="193"/>
      <c r="G21" s="251">
        <v>45033</v>
      </c>
      <c r="H21" s="193" t="s">
        <v>74</v>
      </c>
      <c r="I21" s="193" t="s">
        <v>74</v>
      </c>
      <c r="J21" s="258">
        <v>40</v>
      </c>
      <c r="K21" s="258">
        <v>700</v>
      </c>
      <c r="L21" s="258">
        <v>1290</v>
      </c>
      <c r="M21" s="258">
        <f t="shared" si="0"/>
        <v>590</v>
      </c>
      <c r="N21" s="259">
        <f t="shared" si="1"/>
        <v>0.457364341085271</v>
      </c>
      <c r="O21" s="258">
        <v>100</v>
      </c>
      <c r="P21" s="257">
        <f t="shared" si="4"/>
        <v>4000</v>
      </c>
      <c r="Q21" s="272">
        <f t="shared" si="5"/>
        <v>0.0775193798449612</v>
      </c>
      <c r="R21" s="273" t="str">
        <f>IFERROR(SUMIF(#REF!,$A21,#REF!),"")</f>
        <v/>
      </c>
      <c r="S21" s="274" t="e">
        <f t="shared" si="2"/>
        <v>#VALUE!</v>
      </c>
      <c r="T21" s="275">
        <v>5910278457</v>
      </c>
      <c r="U21" s="229" t="e">
        <f t="shared" si="3"/>
        <v>#VALUE!</v>
      </c>
      <c r="V21" s="246">
        <v>3</v>
      </c>
      <c r="W21" s="246" t="s">
        <v>30</v>
      </c>
      <c r="X21" s="279"/>
    </row>
    <row r="22" s="246" customFormat="1" customHeight="1" spans="1:24">
      <c r="A22" s="193">
        <v>20230501</v>
      </c>
      <c r="B22" s="193" t="s">
        <v>80</v>
      </c>
      <c r="C22" s="193" t="s">
        <v>25</v>
      </c>
      <c r="D22" s="193" t="s">
        <v>51</v>
      </c>
      <c r="E22" s="193" t="s">
        <v>81</v>
      </c>
      <c r="F22" s="193"/>
      <c r="G22" s="251">
        <v>45052</v>
      </c>
      <c r="H22" s="193" t="s">
        <v>70</v>
      </c>
      <c r="I22" s="193" t="s">
        <v>70</v>
      </c>
      <c r="J22" s="258">
        <v>40</v>
      </c>
      <c r="K22" s="258">
        <v>557.52</v>
      </c>
      <c r="L22" s="258">
        <v>2059</v>
      </c>
      <c r="M22" s="258">
        <f t="shared" si="0"/>
        <v>1501.48</v>
      </c>
      <c r="N22" s="259">
        <f t="shared" si="1"/>
        <v>0.729227780475959</v>
      </c>
      <c r="O22" s="258">
        <v>100</v>
      </c>
      <c r="P22" s="257">
        <f t="shared" si="4"/>
        <v>4000</v>
      </c>
      <c r="Q22" s="272">
        <f t="shared" si="5"/>
        <v>0.0485672656629432</v>
      </c>
      <c r="R22" s="273" t="str">
        <f>IFERROR(SUMIF(#REF!,$A22,#REF!),"")</f>
        <v/>
      </c>
      <c r="S22" s="274" t="e">
        <f t="shared" si="2"/>
        <v>#VALUE!</v>
      </c>
      <c r="T22" s="275">
        <v>5910417205</v>
      </c>
      <c r="U22" s="229" t="e">
        <f t="shared" si="3"/>
        <v>#VALUE!</v>
      </c>
      <c r="V22" s="246">
        <v>2</v>
      </c>
      <c r="W22" s="246" t="s">
        <v>56</v>
      </c>
      <c r="X22" s="279"/>
    </row>
    <row r="23" s="246" customFormat="1" customHeight="1" spans="1:24">
      <c r="A23" s="193">
        <v>20230502</v>
      </c>
      <c r="B23" s="193" t="s">
        <v>82</v>
      </c>
      <c r="C23" s="193" t="s">
        <v>25</v>
      </c>
      <c r="D23" s="193" t="s">
        <v>83</v>
      </c>
      <c r="E23" s="193" t="s">
        <v>84</v>
      </c>
      <c r="F23" s="193"/>
      <c r="G23" s="251">
        <v>45051</v>
      </c>
      <c r="H23" s="193" t="s">
        <v>85</v>
      </c>
      <c r="I23" s="193" t="s">
        <v>86</v>
      </c>
      <c r="J23" s="258">
        <v>100</v>
      </c>
      <c r="K23" s="258">
        <v>513.27</v>
      </c>
      <c r="L23" s="258">
        <v>1200</v>
      </c>
      <c r="M23" s="258">
        <f t="shared" si="0"/>
        <v>686.73</v>
      </c>
      <c r="N23" s="259">
        <f t="shared" si="1"/>
        <v>0.572275</v>
      </c>
      <c r="O23" s="258">
        <f>120</f>
        <v>120</v>
      </c>
      <c r="P23" s="257">
        <f t="shared" si="4"/>
        <v>12000</v>
      </c>
      <c r="Q23" s="272">
        <f t="shared" si="5"/>
        <v>0.1</v>
      </c>
      <c r="R23" s="273" t="str">
        <f>IFERROR(SUMIF(#REF!,$A23,#REF!),"")</f>
        <v/>
      </c>
      <c r="S23" s="274" t="e">
        <f t="shared" si="2"/>
        <v>#VALUE!</v>
      </c>
      <c r="T23" s="275">
        <v>5910406461</v>
      </c>
      <c r="U23" s="229" t="e">
        <f t="shared" si="3"/>
        <v>#VALUE!</v>
      </c>
      <c r="V23" s="246">
        <v>1</v>
      </c>
      <c r="W23" s="246" t="s">
        <v>56</v>
      </c>
      <c r="X23" s="279"/>
    </row>
    <row r="24" s="246" customFormat="1" customHeight="1" spans="1:24">
      <c r="A24" s="193">
        <v>20230503</v>
      </c>
      <c r="B24" s="193" t="s">
        <v>87</v>
      </c>
      <c r="C24" s="193" t="s">
        <v>25</v>
      </c>
      <c r="D24" s="193" t="s">
        <v>83</v>
      </c>
      <c r="E24" s="193" t="s">
        <v>84</v>
      </c>
      <c r="F24" s="193"/>
      <c r="G24" s="193" t="s">
        <v>88</v>
      </c>
      <c r="H24" s="193" t="s">
        <v>89</v>
      </c>
      <c r="I24" s="193" t="s">
        <v>90</v>
      </c>
      <c r="J24" s="258">
        <v>20</v>
      </c>
      <c r="K24" s="258">
        <v>5800</v>
      </c>
      <c r="L24" s="258">
        <v>8500</v>
      </c>
      <c r="M24" s="258">
        <f t="shared" si="0"/>
        <v>2700</v>
      </c>
      <c r="N24" s="259">
        <f t="shared" si="1"/>
        <v>0.317647058823529</v>
      </c>
      <c r="O24" s="258">
        <v>500</v>
      </c>
      <c r="P24" s="257">
        <f t="shared" si="4"/>
        <v>10000</v>
      </c>
      <c r="Q24" s="272">
        <f t="shared" si="5"/>
        <v>0.0588235294117647</v>
      </c>
      <c r="R24" s="273" t="str">
        <f>IFERROR(SUMIF(#REF!,$A24,#REF!),"")</f>
        <v/>
      </c>
      <c r="S24" s="274" t="e">
        <f t="shared" si="2"/>
        <v>#VALUE!</v>
      </c>
      <c r="T24" s="275"/>
      <c r="U24" s="229" t="e">
        <f t="shared" si="3"/>
        <v>#VALUE!</v>
      </c>
      <c r="X24" s="279"/>
    </row>
    <row r="25" s="246" customFormat="1" customHeight="1" spans="1:24">
      <c r="A25" s="193">
        <v>20230504</v>
      </c>
      <c r="B25" s="193" t="s">
        <v>87</v>
      </c>
      <c r="C25" s="193" t="s">
        <v>25</v>
      </c>
      <c r="D25" s="193" t="s">
        <v>83</v>
      </c>
      <c r="E25" s="193" t="s">
        <v>84</v>
      </c>
      <c r="F25" s="193"/>
      <c r="G25" s="193" t="s">
        <v>88</v>
      </c>
      <c r="H25" s="193" t="s">
        <v>54</v>
      </c>
      <c r="I25" s="193"/>
      <c r="J25" s="258">
        <v>50</v>
      </c>
      <c r="K25" s="258">
        <v>3550</v>
      </c>
      <c r="L25" s="258">
        <v>4600</v>
      </c>
      <c r="M25" s="258">
        <f t="shared" si="0"/>
        <v>1050</v>
      </c>
      <c r="N25" s="259">
        <f t="shared" si="1"/>
        <v>0.228260869565217</v>
      </c>
      <c r="O25" s="258">
        <v>100</v>
      </c>
      <c r="P25" s="257">
        <f t="shared" si="4"/>
        <v>5000</v>
      </c>
      <c r="Q25" s="272">
        <f t="shared" si="5"/>
        <v>0.0217391304347826</v>
      </c>
      <c r="R25" s="273" t="str">
        <f>IFERROR(SUMIF(#REF!,$A25,#REF!),"")</f>
        <v/>
      </c>
      <c r="S25" s="274" t="e">
        <f t="shared" si="2"/>
        <v>#VALUE!</v>
      </c>
      <c r="T25" s="275"/>
      <c r="U25" s="229" t="e">
        <f t="shared" si="3"/>
        <v>#VALUE!</v>
      </c>
      <c r="X25" s="279"/>
    </row>
    <row r="26" s="246" customFormat="1" customHeight="1" spans="1:24">
      <c r="A26" s="193">
        <v>20230505</v>
      </c>
      <c r="B26" s="193" t="s">
        <v>87</v>
      </c>
      <c r="C26" s="193" t="s">
        <v>25</v>
      </c>
      <c r="D26" s="193" t="s">
        <v>91</v>
      </c>
      <c r="E26" s="193" t="s">
        <v>81</v>
      </c>
      <c r="F26" s="193"/>
      <c r="G26" s="251">
        <v>45054</v>
      </c>
      <c r="H26" s="193" t="s">
        <v>70</v>
      </c>
      <c r="I26" s="193" t="s">
        <v>70</v>
      </c>
      <c r="J26" s="258">
        <v>80</v>
      </c>
      <c r="K26" s="258">
        <v>557.52</v>
      </c>
      <c r="L26" s="258">
        <v>2059</v>
      </c>
      <c r="M26" s="258">
        <f t="shared" si="0"/>
        <v>1501.48</v>
      </c>
      <c r="N26" s="259">
        <f t="shared" si="1"/>
        <v>0.729227780475959</v>
      </c>
      <c r="O26" s="258">
        <v>100</v>
      </c>
      <c r="P26" s="257">
        <f t="shared" si="4"/>
        <v>8000</v>
      </c>
      <c r="Q26" s="272">
        <f t="shared" si="5"/>
        <v>0.0485672656629432</v>
      </c>
      <c r="R26" s="273" t="str">
        <f>IFERROR(SUMIF(#REF!,$A26,#REF!),"")</f>
        <v/>
      </c>
      <c r="S26" s="274" t="e">
        <f t="shared" si="2"/>
        <v>#VALUE!</v>
      </c>
      <c r="T26" s="275">
        <v>5910431138</v>
      </c>
      <c r="U26" s="229" t="e">
        <f t="shared" si="3"/>
        <v>#VALUE!</v>
      </c>
      <c r="V26" s="246">
        <v>1</v>
      </c>
      <c r="W26" s="246" t="s">
        <v>56</v>
      </c>
      <c r="X26" s="279"/>
    </row>
    <row r="27" s="246" customFormat="1" customHeight="1" spans="1:24">
      <c r="A27" s="193">
        <v>20230506</v>
      </c>
      <c r="B27" s="193" t="s">
        <v>87</v>
      </c>
      <c r="C27" s="193" t="s">
        <v>25</v>
      </c>
      <c r="D27" s="193" t="s">
        <v>72</v>
      </c>
      <c r="E27" s="193" t="s">
        <v>73</v>
      </c>
      <c r="F27" s="193"/>
      <c r="G27" s="251">
        <v>45066</v>
      </c>
      <c r="H27" s="193" t="s">
        <v>74</v>
      </c>
      <c r="I27" s="193" t="s">
        <v>74</v>
      </c>
      <c r="J27" s="258">
        <v>120</v>
      </c>
      <c r="K27" s="258">
        <v>700</v>
      </c>
      <c r="L27" s="258">
        <v>1290</v>
      </c>
      <c r="M27" s="258">
        <f t="shared" si="0"/>
        <v>590</v>
      </c>
      <c r="N27" s="259">
        <f t="shared" si="1"/>
        <v>0.457364341085271</v>
      </c>
      <c r="O27" s="258">
        <v>100</v>
      </c>
      <c r="P27" s="257">
        <f t="shared" si="4"/>
        <v>12000</v>
      </c>
      <c r="Q27" s="272">
        <f t="shared" si="5"/>
        <v>0.0775193798449612</v>
      </c>
      <c r="R27" s="273" t="str">
        <f>IFERROR(SUMIF(#REF!,$A27,#REF!),"")</f>
        <v/>
      </c>
      <c r="S27" s="274" t="e">
        <f t="shared" si="2"/>
        <v>#VALUE!</v>
      </c>
      <c r="T27" s="275">
        <v>5910540703</v>
      </c>
      <c r="U27" s="229" t="e">
        <f t="shared" si="3"/>
        <v>#VALUE!</v>
      </c>
      <c r="W27" s="246" t="s">
        <v>46</v>
      </c>
      <c r="X27" s="279">
        <v>45139</v>
      </c>
    </row>
    <row r="28" s="246" customFormat="1" customHeight="1" spans="1:24">
      <c r="A28" s="193">
        <v>20230507</v>
      </c>
      <c r="B28" s="193" t="s">
        <v>87</v>
      </c>
      <c r="C28" s="193" t="s">
        <v>25</v>
      </c>
      <c r="D28" s="193" t="s">
        <v>92</v>
      </c>
      <c r="E28" s="193" t="s">
        <v>93</v>
      </c>
      <c r="F28" s="193"/>
      <c r="G28" s="193" t="s">
        <v>88</v>
      </c>
      <c r="H28" s="193" t="s">
        <v>94</v>
      </c>
      <c r="I28" s="193" t="s">
        <v>86</v>
      </c>
      <c r="J28" s="258">
        <v>300</v>
      </c>
      <c r="K28" s="258">
        <v>513.27</v>
      </c>
      <c r="L28" s="258">
        <v>1500</v>
      </c>
      <c r="M28" s="258">
        <f t="shared" si="0"/>
        <v>986.73</v>
      </c>
      <c r="N28" s="259">
        <f t="shared" si="1"/>
        <v>0.65782</v>
      </c>
      <c r="O28" s="258">
        <v>300</v>
      </c>
      <c r="P28" s="257">
        <f t="shared" si="4"/>
        <v>90000</v>
      </c>
      <c r="Q28" s="272">
        <f t="shared" si="5"/>
        <v>0.2</v>
      </c>
      <c r="R28" s="273" t="str">
        <f>IFERROR(SUMIF(#REF!,$A28,#REF!),"")</f>
        <v/>
      </c>
      <c r="S28" s="274" t="e">
        <f t="shared" si="2"/>
        <v>#VALUE!</v>
      </c>
      <c r="T28" s="275" t="s">
        <v>95</v>
      </c>
      <c r="U28" s="229" t="e">
        <f t="shared" si="3"/>
        <v>#VALUE!</v>
      </c>
      <c r="W28" s="246" t="s">
        <v>96</v>
      </c>
      <c r="X28" s="279">
        <v>45139</v>
      </c>
    </row>
    <row r="29" s="247" customFormat="1" customHeight="1" spans="1:24">
      <c r="A29" s="252">
        <v>20230508</v>
      </c>
      <c r="B29" s="252" t="s">
        <v>87</v>
      </c>
      <c r="C29" s="252" t="s">
        <v>25</v>
      </c>
      <c r="D29" s="252" t="s">
        <v>58</v>
      </c>
      <c r="E29" s="252" t="s">
        <v>69</v>
      </c>
      <c r="F29" s="252"/>
      <c r="G29" s="253" t="s">
        <v>88</v>
      </c>
      <c r="H29" s="252" t="s">
        <v>70</v>
      </c>
      <c r="I29" s="252" t="s">
        <v>70</v>
      </c>
      <c r="J29" s="266">
        <v>30</v>
      </c>
      <c r="K29" s="266">
        <v>557.52</v>
      </c>
      <c r="L29" s="266">
        <v>2059</v>
      </c>
      <c r="M29" s="266">
        <f t="shared" si="0"/>
        <v>1501.48</v>
      </c>
      <c r="N29" s="267">
        <f t="shared" si="1"/>
        <v>0.729227780475959</v>
      </c>
      <c r="O29" s="266">
        <v>100</v>
      </c>
      <c r="P29" s="268">
        <f t="shared" si="4"/>
        <v>3000</v>
      </c>
      <c r="Q29" s="281">
        <f t="shared" si="5"/>
        <v>0.0485672656629432</v>
      </c>
      <c r="R29" s="282" t="str">
        <f>IFERROR(SUMIF(#REF!,$A29,#REF!),"")</f>
        <v/>
      </c>
      <c r="S29" s="283" t="e">
        <f t="shared" si="2"/>
        <v>#VALUE!</v>
      </c>
      <c r="T29" s="275" t="str">
        <f>IFERROR(VLOOKUP(A29,[1]商务费用支付申请!A:B,2,0),"")</f>
        <v/>
      </c>
      <c r="U29" s="284" t="e">
        <f t="shared" si="3"/>
        <v>#VALUE!</v>
      </c>
      <c r="V29" s="246"/>
      <c r="X29" s="285"/>
    </row>
    <row r="30" customHeight="1" spans="1:25">
      <c r="A30" s="7">
        <v>20230509</v>
      </c>
      <c r="B30" s="7" t="s">
        <v>97</v>
      </c>
      <c r="C30" s="7" t="s">
        <v>98</v>
      </c>
      <c r="D30" s="7" t="s">
        <v>99</v>
      </c>
      <c r="E30" s="7" t="s">
        <v>100</v>
      </c>
      <c r="F30" s="7"/>
      <c r="G30" s="7"/>
      <c r="H30" s="7"/>
      <c r="I30" s="7"/>
      <c r="J30" s="255">
        <v>1</v>
      </c>
      <c r="K30" s="255">
        <v>190000</v>
      </c>
      <c r="L30" s="255">
        <v>330000</v>
      </c>
      <c r="M30" s="255">
        <v>140000</v>
      </c>
      <c r="N30" s="261">
        <v>0.424242424242424</v>
      </c>
      <c r="O30" s="255">
        <v>15000</v>
      </c>
      <c r="P30" s="262">
        <f t="shared" si="4"/>
        <v>15000</v>
      </c>
      <c r="Q30" s="276">
        <v>0.0454545454545455</v>
      </c>
      <c r="R30" s="269" t="str">
        <f>IFERROR(SUMIF(#REF!,$A30,#REF!),"")</f>
        <v/>
      </c>
      <c r="S30" s="277">
        <v>0.424242424242424</v>
      </c>
      <c r="T30" s="278" t="s">
        <v>101</v>
      </c>
      <c r="U30" s="174" t="e">
        <f t="shared" si="3"/>
        <v>#VALUE!</v>
      </c>
      <c r="X30" s="279"/>
      <c r="Y30">
        <f>O30*J30</f>
        <v>15000</v>
      </c>
    </row>
    <row r="31" customHeight="1" spans="1:25">
      <c r="A31" s="7">
        <v>20230510</v>
      </c>
      <c r="B31" s="7" t="s">
        <v>97</v>
      </c>
      <c r="C31" s="7" t="s">
        <v>98</v>
      </c>
      <c r="D31" s="7" t="s">
        <v>102</v>
      </c>
      <c r="E31" s="7" t="s">
        <v>103</v>
      </c>
      <c r="F31" s="7"/>
      <c r="G31" s="7"/>
      <c r="H31" s="7"/>
      <c r="I31" s="7" t="s">
        <v>104</v>
      </c>
      <c r="J31" s="255">
        <v>53</v>
      </c>
      <c r="K31" s="255">
        <v>513</v>
      </c>
      <c r="L31" s="255">
        <v>1111.5</v>
      </c>
      <c r="M31" s="255">
        <v>598.5</v>
      </c>
      <c r="N31" s="261">
        <v>0.538461538461538</v>
      </c>
      <c r="O31" s="255">
        <v>18.87</v>
      </c>
      <c r="P31" s="262">
        <f t="shared" si="4"/>
        <v>1000.11</v>
      </c>
      <c r="Q31" s="276">
        <v>0.899685110211426</v>
      </c>
      <c r="R31" s="269" t="str">
        <f>IFERROR(SUMIF(#REF!,$A31,#REF!),"")</f>
        <v/>
      </c>
      <c r="S31" s="277">
        <v>0.538461538461538</v>
      </c>
      <c r="T31" s="278" t="s">
        <v>105</v>
      </c>
      <c r="U31" s="174" t="e">
        <f t="shared" si="3"/>
        <v>#VALUE!</v>
      </c>
      <c r="X31" s="279"/>
      <c r="Y31">
        <f>O31*J31</f>
        <v>1000.11</v>
      </c>
    </row>
    <row r="32" s="246" customFormat="1" customHeight="1" spans="1:24">
      <c r="A32" s="193">
        <v>20230511</v>
      </c>
      <c r="B32" s="193" t="s">
        <v>97</v>
      </c>
      <c r="C32" s="193" t="s">
        <v>25</v>
      </c>
      <c r="D32" s="193" t="s">
        <v>91</v>
      </c>
      <c r="E32" s="193" t="s">
        <v>81</v>
      </c>
      <c r="F32" s="193"/>
      <c r="G32" s="193" t="s">
        <v>106</v>
      </c>
      <c r="H32" s="193" t="s">
        <v>54</v>
      </c>
      <c r="I32" s="250" t="s">
        <v>55</v>
      </c>
      <c r="J32" s="258">
        <v>80</v>
      </c>
      <c r="K32" s="258">
        <v>3000</v>
      </c>
      <c r="L32" s="258">
        <v>4051</v>
      </c>
      <c r="M32" s="258">
        <f t="shared" ref="M32:M50" si="6">L32-K32</f>
        <v>1051</v>
      </c>
      <c r="N32" s="259">
        <f t="shared" ref="N32:N50" si="7">IF(AND($M32&lt;&gt;0,$L32&lt;&gt;0),$M32/$L32,"")</f>
        <v>0.259442113058504</v>
      </c>
      <c r="O32" s="258">
        <v>100</v>
      </c>
      <c r="P32" s="257">
        <f t="shared" si="4"/>
        <v>8000</v>
      </c>
      <c r="Q32" s="272">
        <f t="shared" ref="Q32:Q50" si="8">IF(AND($O32&lt;&gt;0,$L32&lt;&gt;0),$O32/$L32,"")</f>
        <v>0.0246852628980499</v>
      </c>
      <c r="R32" s="273" t="str">
        <f>IFERROR(SUMIF(#REF!,$A32,#REF!),"")</f>
        <v/>
      </c>
      <c r="S32" s="274" t="e">
        <f t="shared" ref="S32:S50" si="9">IF(AND(($M32*$J32-$R32)&lt;&gt;0,($L32*$J32)&lt;&gt;0),($M32*$J32-$R32)/($L32*$J32),"")</f>
        <v>#VALUE!</v>
      </c>
      <c r="T32" s="275">
        <v>5911055307</v>
      </c>
      <c r="U32" s="229" t="e">
        <f t="shared" si="3"/>
        <v>#VALUE!</v>
      </c>
      <c r="W32" s="246" t="s">
        <v>107</v>
      </c>
      <c r="X32" s="279">
        <v>45200</v>
      </c>
    </row>
    <row r="33" s="246" customFormat="1" customHeight="1" spans="1:24">
      <c r="A33" s="7">
        <v>20230512</v>
      </c>
      <c r="B33" s="7" t="s">
        <v>108</v>
      </c>
      <c r="C33" s="7" t="s">
        <v>109</v>
      </c>
      <c r="D33" s="7" t="s">
        <v>110</v>
      </c>
      <c r="E33" s="7" t="s">
        <v>111</v>
      </c>
      <c r="F33" s="7" t="s">
        <v>112</v>
      </c>
      <c r="G33" s="7"/>
      <c r="H33" s="178" t="s">
        <v>113</v>
      </c>
      <c r="I33" s="7" t="s">
        <v>36</v>
      </c>
      <c r="J33" s="255">
        <v>294</v>
      </c>
      <c r="K33" s="255">
        <v>557.6</v>
      </c>
      <c r="L33" s="255">
        <v>1752</v>
      </c>
      <c r="M33" s="255">
        <f t="shared" si="6"/>
        <v>1194.4</v>
      </c>
      <c r="N33" s="261">
        <f t="shared" si="7"/>
        <v>0.681735159817352</v>
      </c>
      <c r="O33" s="255">
        <v>100</v>
      </c>
      <c r="P33" s="262">
        <f t="shared" si="4"/>
        <v>29400</v>
      </c>
      <c r="Q33" s="276">
        <f t="shared" si="8"/>
        <v>0.0570776255707763</v>
      </c>
      <c r="R33" s="269" t="str">
        <f>IFERROR(SUMIF(#REF!,$A33,#REF!),"")</f>
        <v/>
      </c>
      <c r="S33" s="277" t="e">
        <f t="shared" si="9"/>
        <v>#VALUE!</v>
      </c>
      <c r="T33" s="278" t="s">
        <v>114</v>
      </c>
      <c r="U33" s="174" t="e">
        <f t="shared" si="3"/>
        <v>#VALUE!</v>
      </c>
      <c r="V33"/>
      <c r="W33"/>
      <c r="X33" s="279"/>
    </row>
    <row r="34" customHeight="1" spans="1:24">
      <c r="A34" s="7">
        <v>20230513</v>
      </c>
      <c r="B34" s="7" t="s">
        <v>108</v>
      </c>
      <c r="C34" s="7" t="s">
        <v>109</v>
      </c>
      <c r="D34" s="7" t="s">
        <v>110</v>
      </c>
      <c r="E34" s="7" t="s">
        <v>111</v>
      </c>
      <c r="F34" s="7" t="s">
        <v>112</v>
      </c>
      <c r="G34" s="7"/>
      <c r="H34" s="7" t="s">
        <v>115</v>
      </c>
      <c r="I34" s="7" t="s">
        <v>116</v>
      </c>
      <c r="J34" s="255">
        <v>405</v>
      </c>
      <c r="K34" s="255">
        <v>2654.87</v>
      </c>
      <c r="L34" s="255">
        <v>3585</v>
      </c>
      <c r="M34" s="255">
        <f t="shared" si="6"/>
        <v>930.13</v>
      </c>
      <c r="N34" s="261">
        <f t="shared" si="7"/>
        <v>0.259450488145049</v>
      </c>
      <c r="O34" s="255">
        <v>67</v>
      </c>
      <c r="P34" s="262">
        <f t="shared" si="4"/>
        <v>27135</v>
      </c>
      <c r="Q34" s="276">
        <f t="shared" si="8"/>
        <v>0.0186889818688982</v>
      </c>
      <c r="R34" s="269" t="str">
        <f>IFERROR(SUMIF(#REF!,$A34,#REF!),"")</f>
        <v/>
      </c>
      <c r="S34" s="277" t="e">
        <f t="shared" si="9"/>
        <v>#VALUE!</v>
      </c>
      <c r="T34" s="278" t="s">
        <v>117</v>
      </c>
      <c r="U34" s="174" t="e">
        <f t="shared" si="3"/>
        <v>#VALUE!</v>
      </c>
      <c r="X34" s="279"/>
    </row>
    <row r="35" customHeight="1" spans="1:24">
      <c r="A35" s="7">
        <v>20230514</v>
      </c>
      <c r="B35" s="7" t="s">
        <v>108</v>
      </c>
      <c r="C35" s="7" t="s">
        <v>109</v>
      </c>
      <c r="D35" s="7" t="s">
        <v>110</v>
      </c>
      <c r="E35" s="7" t="s">
        <v>111</v>
      </c>
      <c r="F35" s="7" t="s">
        <v>112</v>
      </c>
      <c r="G35" s="7"/>
      <c r="H35" s="178" t="s">
        <v>118</v>
      </c>
      <c r="I35" s="7" t="s">
        <v>119</v>
      </c>
      <c r="J35" s="255">
        <v>315</v>
      </c>
      <c r="K35" s="255">
        <v>619.5</v>
      </c>
      <c r="L35" s="255">
        <v>1290</v>
      </c>
      <c r="M35" s="255">
        <f t="shared" si="6"/>
        <v>670.5</v>
      </c>
      <c r="N35" s="261">
        <f t="shared" si="7"/>
        <v>0.519767441860465</v>
      </c>
      <c r="O35" s="255">
        <v>50</v>
      </c>
      <c r="P35" s="262">
        <f t="shared" si="4"/>
        <v>15750</v>
      </c>
      <c r="Q35" s="276">
        <f t="shared" si="8"/>
        <v>0.0387596899224806</v>
      </c>
      <c r="R35" s="269" t="str">
        <f>IFERROR(SUMIF(#REF!,$A35,#REF!),"")</f>
        <v/>
      </c>
      <c r="S35" s="277" t="e">
        <f t="shared" si="9"/>
        <v>#VALUE!</v>
      </c>
      <c r="T35" s="278" t="s">
        <v>120</v>
      </c>
      <c r="U35" s="174" t="e">
        <f t="shared" si="3"/>
        <v>#VALUE!</v>
      </c>
      <c r="X35" s="279"/>
    </row>
    <row r="36" customHeight="1" spans="1:24">
      <c r="A36" s="7">
        <v>20230515</v>
      </c>
      <c r="B36" s="7" t="s">
        <v>108</v>
      </c>
      <c r="C36" s="7" t="s">
        <v>109</v>
      </c>
      <c r="D36" s="7" t="s">
        <v>110</v>
      </c>
      <c r="E36" s="7" t="s">
        <v>111</v>
      </c>
      <c r="F36" s="7" t="s">
        <v>112</v>
      </c>
      <c r="G36" s="7"/>
      <c r="H36" s="7" t="s">
        <v>121</v>
      </c>
      <c r="I36" s="7" t="s">
        <v>122</v>
      </c>
      <c r="J36" s="255">
        <v>80</v>
      </c>
      <c r="K36" s="255">
        <v>1195</v>
      </c>
      <c r="L36" s="255">
        <v>1850</v>
      </c>
      <c r="M36" s="255">
        <f t="shared" si="6"/>
        <v>655</v>
      </c>
      <c r="N36" s="261">
        <f t="shared" si="7"/>
        <v>0.354054054054054</v>
      </c>
      <c r="O36" s="255">
        <v>100</v>
      </c>
      <c r="P36" s="262">
        <f t="shared" si="4"/>
        <v>8000</v>
      </c>
      <c r="Q36" s="276">
        <f t="shared" si="8"/>
        <v>0.0540540540540541</v>
      </c>
      <c r="R36" s="269" t="str">
        <f>IFERROR(SUMIF(#REF!,$A36,#REF!),"")</f>
        <v/>
      </c>
      <c r="S36" s="277" t="e">
        <f t="shared" si="9"/>
        <v>#VALUE!</v>
      </c>
      <c r="T36" s="278" t="s">
        <v>123</v>
      </c>
      <c r="U36" s="174" t="e">
        <f t="shared" si="3"/>
        <v>#VALUE!</v>
      </c>
      <c r="X36" s="279">
        <v>45140</v>
      </c>
    </row>
    <row r="37" customHeight="1" spans="1:24">
      <c r="A37" s="7">
        <v>20230516</v>
      </c>
      <c r="B37" s="7" t="s">
        <v>108</v>
      </c>
      <c r="C37" s="7" t="s">
        <v>109</v>
      </c>
      <c r="D37" s="7" t="s">
        <v>124</v>
      </c>
      <c r="E37" s="7" t="s">
        <v>125</v>
      </c>
      <c r="F37" s="7" t="s">
        <v>126</v>
      </c>
      <c r="G37" s="7"/>
      <c r="H37" s="7" t="s">
        <v>115</v>
      </c>
      <c r="I37" s="7" t="s">
        <v>116</v>
      </c>
      <c r="J37" s="255">
        <v>100</v>
      </c>
      <c r="K37" s="255">
        <v>2654.87</v>
      </c>
      <c r="L37" s="255">
        <v>3585</v>
      </c>
      <c r="M37" s="255">
        <f t="shared" si="6"/>
        <v>930.13</v>
      </c>
      <c r="N37" s="261">
        <f t="shared" si="7"/>
        <v>0.259450488145049</v>
      </c>
      <c r="O37" s="255">
        <v>67</v>
      </c>
      <c r="P37" s="262">
        <f t="shared" si="4"/>
        <v>6700</v>
      </c>
      <c r="Q37" s="276">
        <f t="shared" si="8"/>
        <v>0.0186889818688982</v>
      </c>
      <c r="R37" s="269" t="str">
        <f>IFERROR(SUMIF(#REF!,$A37,#REF!),"")</f>
        <v/>
      </c>
      <c r="S37" s="277" t="e">
        <f t="shared" si="9"/>
        <v>#VALUE!</v>
      </c>
      <c r="T37" s="278">
        <v>4100149014</v>
      </c>
      <c r="U37" s="174" t="e">
        <f t="shared" si="3"/>
        <v>#VALUE!</v>
      </c>
      <c r="X37" s="279"/>
    </row>
    <row r="38" customHeight="1" spans="1:24">
      <c r="A38" s="7">
        <v>20230517</v>
      </c>
      <c r="B38" s="7" t="s">
        <v>108</v>
      </c>
      <c r="C38" s="7" t="s">
        <v>109</v>
      </c>
      <c r="D38" s="7" t="s">
        <v>124</v>
      </c>
      <c r="E38" s="7" t="s">
        <v>125</v>
      </c>
      <c r="F38" s="7" t="s">
        <v>126</v>
      </c>
      <c r="G38" s="7"/>
      <c r="H38" s="178" t="s">
        <v>127</v>
      </c>
      <c r="I38" s="7" t="s">
        <v>119</v>
      </c>
      <c r="J38" s="255">
        <v>80</v>
      </c>
      <c r="K38" s="255">
        <v>796</v>
      </c>
      <c r="L38" s="255">
        <v>2035</v>
      </c>
      <c r="M38" s="255">
        <f t="shared" si="6"/>
        <v>1239</v>
      </c>
      <c r="N38" s="261">
        <f t="shared" si="7"/>
        <v>0.608845208845209</v>
      </c>
      <c r="O38" s="255">
        <v>100</v>
      </c>
      <c r="P38" s="262">
        <f t="shared" si="4"/>
        <v>8000</v>
      </c>
      <c r="Q38" s="276">
        <f t="shared" si="8"/>
        <v>0.0491400491400491</v>
      </c>
      <c r="R38" s="269" t="str">
        <f>IFERROR(SUMIF(#REF!,$A38,#REF!),"")</f>
        <v/>
      </c>
      <c r="S38" s="277" t="e">
        <f t="shared" si="9"/>
        <v>#VALUE!</v>
      </c>
      <c r="T38" s="278" t="s">
        <v>128</v>
      </c>
      <c r="U38" s="174" t="e">
        <f t="shared" si="3"/>
        <v>#VALUE!</v>
      </c>
      <c r="X38" s="279"/>
    </row>
    <row r="39" customHeight="1" spans="1:24">
      <c r="A39" s="7">
        <v>20230518</v>
      </c>
      <c r="B39" s="7" t="s">
        <v>108</v>
      </c>
      <c r="C39" s="7" t="s">
        <v>109</v>
      </c>
      <c r="D39" s="7" t="s">
        <v>129</v>
      </c>
      <c r="E39" s="7" t="s">
        <v>130</v>
      </c>
      <c r="F39" s="7" t="s">
        <v>131</v>
      </c>
      <c r="G39" s="7"/>
      <c r="H39" s="178" t="s">
        <v>127</v>
      </c>
      <c r="I39" s="7" t="s">
        <v>119</v>
      </c>
      <c r="J39" s="255">
        <v>100</v>
      </c>
      <c r="K39" s="255">
        <v>796</v>
      </c>
      <c r="L39" s="255">
        <v>2035</v>
      </c>
      <c r="M39" s="255">
        <f t="shared" si="6"/>
        <v>1239</v>
      </c>
      <c r="N39" s="261">
        <f t="shared" si="7"/>
        <v>0.608845208845209</v>
      </c>
      <c r="O39" s="255">
        <v>200</v>
      </c>
      <c r="P39" s="262">
        <f t="shared" si="4"/>
        <v>20000</v>
      </c>
      <c r="Q39" s="276">
        <f t="shared" si="8"/>
        <v>0.0982800982800983</v>
      </c>
      <c r="R39" s="269" t="str">
        <f>IFERROR(SUMIF(#REF!,$A39,#REF!),"")</f>
        <v/>
      </c>
      <c r="S39" s="277" t="e">
        <f t="shared" si="9"/>
        <v>#VALUE!</v>
      </c>
      <c r="T39" s="278">
        <v>5910243774</v>
      </c>
      <c r="U39" s="174" t="e">
        <f t="shared" si="3"/>
        <v>#VALUE!</v>
      </c>
      <c r="W39" t="s">
        <v>132</v>
      </c>
      <c r="X39" s="279">
        <v>45139</v>
      </c>
    </row>
    <row r="40" customHeight="1" spans="1:24">
      <c r="A40" s="7">
        <v>20230519</v>
      </c>
      <c r="B40" s="7" t="s">
        <v>108</v>
      </c>
      <c r="C40" s="7" t="s">
        <v>109</v>
      </c>
      <c r="D40" s="7" t="s">
        <v>129</v>
      </c>
      <c r="E40" s="7" t="s">
        <v>130</v>
      </c>
      <c r="F40" s="7" t="s">
        <v>133</v>
      </c>
      <c r="G40" s="7"/>
      <c r="H40" s="7" t="s">
        <v>115</v>
      </c>
      <c r="I40" s="7" t="s">
        <v>116</v>
      </c>
      <c r="J40" s="255">
        <v>100</v>
      </c>
      <c r="K40" s="255">
        <v>2565.87</v>
      </c>
      <c r="L40" s="255">
        <v>3585</v>
      </c>
      <c r="M40" s="255">
        <f t="shared" si="6"/>
        <v>1019.13</v>
      </c>
      <c r="N40" s="261">
        <f t="shared" si="7"/>
        <v>0.284276150627615</v>
      </c>
      <c r="O40" s="255">
        <v>70</v>
      </c>
      <c r="P40" s="262">
        <f t="shared" si="4"/>
        <v>7000</v>
      </c>
      <c r="Q40" s="276">
        <f t="shared" si="8"/>
        <v>0.0195258019525802</v>
      </c>
      <c r="R40" s="269" t="str">
        <f>IFERROR(SUMIF(#REF!,$A40,#REF!),"")</f>
        <v/>
      </c>
      <c r="S40" s="277" t="e">
        <f t="shared" si="9"/>
        <v>#VALUE!</v>
      </c>
      <c r="T40" s="278"/>
      <c r="U40" s="174" t="e">
        <f t="shared" si="3"/>
        <v>#VALUE!</v>
      </c>
      <c r="X40" s="279"/>
    </row>
    <row r="41" customHeight="1" spans="1:24">
      <c r="A41" s="7">
        <v>20230520</v>
      </c>
      <c r="B41" s="7" t="s">
        <v>108</v>
      </c>
      <c r="C41" s="7" t="s">
        <v>109</v>
      </c>
      <c r="D41" s="7" t="s">
        <v>134</v>
      </c>
      <c r="E41" s="7" t="s">
        <v>135</v>
      </c>
      <c r="F41" s="7" t="s">
        <v>136</v>
      </c>
      <c r="G41" s="7"/>
      <c r="H41" s="7" t="s">
        <v>137</v>
      </c>
      <c r="I41" s="7" t="s">
        <v>122</v>
      </c>
      <c r="J41" s="255">
        <v>60</v>
      </c>
      <c r="K41" s="255">
        <v>1194</v>
      </c>
      <c r="L41" s="255">
        <v>2050</v>
      </c>
      <c r="M41" s="255">
        <f t="shared" si="6"/>
        <v>856</v>
      </c>
      <c r="N41" s="261">
        <f t="shared" si="7"/>
        <v>0.417560975609756</v>
      </c>
      <c r="O41" s="255">
        <v>100</v>
      </c>
      <c r="P41" s="262">
        <f t="shared" si="4"/>
        <v>6000</v>
      </c>
      <c r="Q41" s="276">
        <f t="shared" si="8"/>
        <v>0.0487804878048781</v>
      </c>
      <c r="R41" s="269" t="str">
        <f>IFERROR(SUMIF(#REF!,$A41,#REF!),"")</f>
        <v/>
      </c>
      <c r="S41" s="277" t="e">
        <f t="shared" si="9"/>
        <v>#VALUE!</v>
      </c>
      <c r="T41" s="278"/>
      <c r="U41" s="174" t="e">
        <f t="shared" si="3"/>
        <v>#VALUE!</v>
      </c>
      <c r="X41" s="279"/>
    </row>
    <row r="42" customHeight="1" spans="1:24">
      <c r="A42" s="7">
        <v>20230521</v>
      </c>
      <c r="B42" s="7" t="s">
        <v>108</v>
      </c>
      <c r="C42" s="7" t="s">
        <v>109</v>
      </c>
      <c r="D42" s="7" t="s">
        <v>134</v>
      </c>
      <c r="E42" s="7" t="s">
        <v>135</v>
      </c>
      <c r="F42" s="7" t="s">
        <v>136</v>
      </c>
      <c r="G42" s="7"/>
      <c r="H42" s="7" t="s">
        <v>138</v>
      </c>
      <c r="I42" s="7" t="s">
        <v>139</v>
      </c>
      <c r="J42" s="255">
        <v>50</v>
      </c>
      <c r="K42" s="255">
        <v>600</v>
      </c>
      <c r="L42" s="255">
        <v>1085</v>
      </c>
      <c r="M42" s="255">
        <f t="shared" si="6"/>
        <v>485</v>
      </c>
      <c r="N42" s="261">
        <f t="shared" si="7"/>
        <v>0.447004608294931</v>
      </c>
      <c r="O42" s="255">
        <v>50</v>
      </c>
      <c r="P42" s="262">
        <f t="shared" si="4"/>
        <v>2500</v>
      </c>
      <c r="Q42" s="276">
        <f t="shared" si="8"/>
        <v>0.0460829493087558</v>
      </c>
      <c r="R42" s="269" t="str">
        <f>IFERROR(SUMIF(#REF!,$A42,#REF!),"")</f>
        <v/>
      </c>
      <c r="S42" s="277" t="e">
        <f t="shared" si="9"/>
        <v>#VALUE!</v>
      </c>
      <c r="T42" s="278"/>
      <c r="U42" s="174" t="e">
        <f t="shared" si="3"/>
        <v>#VALUE!</v>
      </c>
      <c r="X42" s="279"/>
    </row>
    <row r="43" customHeight="1" spans="1:24">
      <c r="A43" s="7">
        <v>20230522</v>
      </c>
      <c r="B43" s="7" t="s">
        <v>108</v>
      </c>
      <c r="C43" s="7" t="s">
        <v>109</v>
      </c>
      <c r="D43" s="7" t="s">
        <v>134</v>
      </c>
      <c r="E43" s="7" t="s">
        <v>135</v>
      </c>
      <c r="F43" s="7" t="s">
        <v>136</v>
      </c>
      <c r="G43" s="7"/>
      <c r="H43" s="7" t="s">
        <v>140</v>
      </c>
      <c r="I43" s="7" t="s">
        <v>141</v>
      </c>
      <c r="J43" s="255">
        <v>39</v>
      </c>
      <c r="K43" s="255">
        <v>1327</v>
      </c>
      <c r="L43" s="255">
        <v>2430</v>
      </c>
      <c r="M43" s="255">
        <f t="shared" si="6"/>
        <v>1103</v>
      </c>
      <c r="N43" s="261">
        <f t="shared" si="7"/>
        <v>0.453909465020576</v>
      </c>
      <c r="O43" s="255">
        <v>100</v>
      </c>
      <c r="P43" s="262">
        <f t="shared" si="4"/>
        <v>3900</v>
      </c>
      <c r="Q43" s="276">
        <f t="shared" si="8"/>
        <v>0.0411522633744856</v>
      </c>
      <c r="R43" s="269" t="str">
        <f>IFERROR(SUMIF(#REF!,$A43,#REF!),"")</f>
        <v/>
      </c>
      <c r="S43" s="277" t="e">
        <f t="shared" si="9"/>
        <v>#VALUE!</v>
      </c>
      <c r="T43" s="278"/>
      <c r="U43" s="174" t="e">
        <f t="shared" si="3"/>
        <v>#VALUE!</v>
      </c>
      <c r="X43" s="279"/>
    </row>
    <row r="44" customHeight="1" spans="1:24">
      <c r="A44" s="7">
        <v>20230523</v>
      </c>
      <c r="B44" s="7" t="s">
        <v>108</v>
      </c>
      <c r="C44" s="7" t="s">
        <v>109</v>
      </c>
      <c r="D44" s="7" t="s">
        <v>134</v>
      </c>
      <c r="E44" s="7" t="s">
        <v>135</v>
      </c>
      <c r="F44" s="7" t="s">
        <v>136</v>
      </c>
      <c r="G44" s="7"/>
      <c r="H44" s="7" t="s">
        <v>142</v>
      </c>
      <c r="I44" s="7" t="s">
        <v>141</v>
      </c>
      <c r="J44" s="255">
        <v>39</v>
      </c>
      <c r="K44" s="255">
        <v>5929</v>
      </c>
      <c r="L44" s="255">
        <v>8700</v>
      </c>
      <c r="M44" s="255">
        <f t="shared" si="6"/>
        <v>2771</v>
      </c>
      <c r="N44" s="261">
        <f t="shared" si="7"/>
        <v>0.318505747126437</v>
      </c>
      <c r="O44" s="255">
        <v>100</v>
      </c>
      <c r="P44" s="262">
        <f t="shared" si="4"/>
        <v>3900</v>
      </c>
      <c r="Q44" s="276">
        <f t="shared" si="8"/>
        <v>0.0114942528735632</v>
      </c>
      <c r="R44" s="269" t="str">
        <f>IFERROR(SUMIF(#REF!,$A44,#REF!),"")</f>
        <v/>
      </c>
      <c r="S44" s="277" t="e">
        <f t="shared" si="9"/>
        <v>#VALUE!</v>
      </c>
      <c r="T44" s="278"/>
      <c r="U44" s="174" t="e">
        <f t="shared" si="3"/>
        <v>#VALUE!</v>
      </c>
      <c r="X44" s="279"/>
    </row>
    <row r="45" customHeight="1" spans="1:24">
      <c r="A45" s="7">
        <v>20230524</v>
      </c>
      <c r="B45" s="7" t="s">
        <v>108</v>
      </c>
      <c r="C45" s="7" t="s">
        <v>109</v>
      </c>
      <c r="D45" s="7" t="s">
        <v>134</v>
      </c>
      <c r="E45" s="7" t="s">
        <v>135</v>
      </c>
      <c r="F45" s="7" t="s">
        <v>136</v>
      </c>
      <c r="G45" s="7"/>
      <c r="H45" s="7" t="s">
        <v>143</v>
      </c>
      <c r="I45" s="11" t="s">
        <v>116</v>
      </c>
      <c r="J45" s="255">
        <v>60</v>
      </c>
      <c r="K45" s="255">
        <v>2035</v>
      </c>
      <c r="L45" s="255">
        <v>2884</v>
      </c>
      <c r="M45" s="255">
        <f t="shared" si="6"/>
        <v>849</v>
      </c>
      <c r="N45" s="261">
        <f t="shared" si="7"/>
        <v>0.294382801664355</v>
      </c>
      <c r="O45" s="255">
        <v>50</v>
      </c>
      <c r="P45" s="262">
        <f t="shared" si="4"/>
        <v>3000</v>
      </c>
      <c r="Q45" s="276">
        <f t="shared" si="8"/>
        <v>0.0173370319001387</v>
      </c>
      <c r="R45" s="269" t="str">
        <f>IFERROR(SUMIF(#REF!,$A45,#REF!),"")</f>
        <v/>
      </c>
      <c r="S45" s="277" t="e">
        <f t="shared" si="9"/>
        <v>#VALUE!</v>
      </c>
      <c r="T45" s="278"/>
      <c r="U45" s="174" t="e">
        <f t="shared" si="3"/>
        <v>#VALUE!</v>
      </c>
      <c r="X45" s="279"/>
    </row>
    <row r="46" customHeight="1" spans="1:24">
      <c r="A46" s="7">
        <v>20230525</v>
      </c>
      <c r="B46" s="7" t="s">
        <v>108</v>
      </c>
      <c r="C46" s="7" t="s">
        <v>109</v>
      </c>
      <c r="D46" s="7" t="s">
        <v>144</v>
      </c>
      <c r="E46" s="7" t="s">
        <v>145</v>
      </c>
      <c r="F46" s="7" t="s">
        <v>146</v>
      </c>
      <c r="G46" s="7"/>
      <c r="H46" s="7" t="s">
        <v>147</v>
      </c>
      <c r="I46" s="11" t="s">
        <v>122</v>
      </c>
      <c r="J46" s="255">
        <v>30</v>
      </c>
      <c r="K46" s="255">
        <v>3097</v>
      </c>
      <c r="L46" s="255">
        <v>4448</v>
      </c>
      <c r="M46" s="255">
        <f t="shared" si="6"/>
        <v>1351</v>
      </c>
      <c r="N46" s="261">
        <f t="shared" si="7"/>
        <v>0.303732014388489</v>
      </c>
      <c r="O46" s="255">
        <v>200</v>
      </c>
      <c r="P46" s="262">
        <f t="shared" si="4"/>
        <v>6000</v>
      </c>
      <c r="Q46" s="276">
        <f t="shared" si="8"/>
        <v>0.0449640287769784</v>
      </c>
      <c r="R46" s="269" t="str">
        <f>IFERROR(SUMIF(#REF!,$A46,#REF!),"")</f>
        <v/>
      </c>
      <c r="S46" s="277" t="e">
        <f t="shared" si="9"/>
        <v>#VALUE!</v>
      </c>
      <c r="T46" s="278">
        <v>3900584689</v>
      </c>
      <c r="U46" s="174" t="e">
        <f t="shared" si="3"/>
        <v>#VALUE!</v>
      </c>
      <c r="W46" t="s">
        <v>30</v>
      </c>
      <c r="X46" s="279">
        <v>45139</v>
      </c>
    </row>
    <row r="47" s="246" customFormat="1" customHeight="1" spans="1:24">
      <c r="A47" s="193">
        <v>20230526</v>
      </c>
      <c r="B47" s="193" t="s">
        <v>148</v>
      </c>
      <c r="C47" s="193" t="s">
        <v>25</v>
      </c>
      <c r="D47" s="193" t="s">
        <v>51</v>
      </c>
      <c r="E47" s="193" t="s">
        <v>81</v>
      </c>
      <c r="F47" s="193"/>
      <c r="G47" s="251">
        <v>45039</v>
      </c>
      <c r="H47" s="193" t="s">
        <v>70</v>
      </c>
      <c r="I47" s="264" t="s">
        <v>70</v>
      </c>
      <c r="J47" s="258">
        <v>20</v>
      </c>
      <c r="K47" s="258">
        <v>557.52</v>
      </c>
      <c r="L47" s="258">
        <v>2059</v>
      </c>
      <c r="M47" s="258">
        <f t="shared" si="6"/>
        <v>1501.48</v>
      </c>
      <c r="N47" s="259">
        <f t="shared" si="7"/>
        <v>0.729227780475959</v>
      </c>
      <c r="O47" s="258">
        <v>100</v>
      </c>
      <c r="P47" s="257">
        <f t="shared" si="4"/>
        <v>2000</v>
      </c>
      <c r="Q47" s="272">
        <f t="shared" si="8"/>
        <v>0.0485672656629432</v>
      </c>
      <c r="R47" s="273" t="str">
        <f>IFERROR(SUMIF(#REF!,$A47,#REF!),"")</f>
        <v/>
      </c>
      <c r="S47" s="274" t="e">
        <f t="shared" si="9"/>
        <v>#VALUE!</v>
      </c>
      <c r="T47" s="275">
        <v>5910334432</v>
      </c>
      <c r="U47" s="229" t="e">
        <f t="shared" si="3"/>
        <v>#VALUE!</v>
      </c>
      <c r="V47" s="246">
        <v>3</v>
      </c>
      <c r="W47" s="246" t="s">
        <v>56</v>
      </c>
      <c r="X47" s="279"/>
    </row>
    <row r="48" s="246" customFormat="1" customHeight="1" spans="1:24">
      <c r="A48" s="193">
        <v>20230527</v>
      </c>
      <c r="B48" s="193" t="s">
        <v>148</v>
      </c>
      <c r="C48" s="193" t="s">
        <v>25</v>
      </c>
      <c r="D48" s="193" t="s">
        <v>91</v>
      </c>
      <c r="E48" s="193" t="s">
        <v>81</v>
      </c>
      <c r="F48" s="193"/>
      <c r="G48" s="251">
        <v>45043</v>
      </c>
      <c r="H48" s="193" t="s">
        <v>74</v>
      </c>
      <c r="I48" s="193" t="s">
        <v>74</v>
      </c>
      <c r="J48" s="258">
        <v>80</v>
      </c>
      <c r="K48" s="258">
        <v>700</v>
      </c>
      <c r="L48" s="258">
        <v>1290</v>
      </c>
      <c r="M48" s="258">
        <f t="shared" si="6"/>
        <v>590</v>
      </c>
      <c r="N48" s="259">
        <f t="shared" si="7"/>
        <v>0.457364341085271</v>
      </c>
      <c r="O48" s="258">
        <v>100</v>
      </c>
      <c r="P48" s="257">
        <f t="shared" si="4"/>
        <v>8000</v>
      </c>
      <c r="Q48" s="272">
        <f t="shared" si="8"/>
        <v>0.0775193798449612</v>
      </c>
      <c r="R48" s="273" t="str">
        <f>IFERROR(SUMIF(#REF!,$A48,#REF!),"")</f>
        <v/>
      </c>
      <c r="S48" s="274" t="e">
        <f t="shared" si="9"/>
        <v>#VALUE!</v>
      </c>
      <c r="T48" s="275">
        <v>5910368849</v>
      </c>
      <c r="U48" s="229" t="e">
        <f t="shared" si="3"/>
        <v>#VALUE!</v>
      </c>
      <c r="V48" s="246">
        <v>4</v>
      </c>
      <c r="W48" s="246" t="s">
        <v>56</v>
      </c>
      <c r="X48" s="279"/>
    </row>
    <row r="49" s="246" customFormat="1" ht="12" customHeight="1" spans="1:24">
      <c r="A49" s="193">
        <v>20230528</v>
      </c>
      <c r="B49" s="193" t="s">
        <v>148</v>
      </c>
      <c r="C49" s="193" t="s">
        <v>25</v>
      </c>
      <c r="D49" s="193" t="s">
        <v>51</v>
      </c>
      <c r="E49" s="193" t="s">
        <v>81</v>
      </c>
      <c r="F49" s="193"/>
      <c r="G49" s="251">
        <v>45045</v>
      </c>
      <c r="H49" s="193" t="s">
        <v>74</v>
      </c>
      <c r="I49" s="193" t="s">
        <v>74</v>
      </c>
      <c r="J49" s="258">
        <v>20</v>
      </c>
      <c r="K49" s="258">
        <v>700</v>
      </c>
      <c r="L49" s="258">
        <v>1290</v>
      </c>
      <c r="M49" s="258">
        <f t="shared" si="6"/>
        <v>590</v>
      </c>
      <c r="N49" s="259">
        <f t="shared" si="7"/>
        <v>0.457364341085271</v>
      </c>
      <c r="O49" s="258">
        <v>100</v>
      </c>
      <c r="P49" s="257">
        <f t="shared" si="4"/>
        <v>2000</v>
      </c>
      <c r="Q49" s="272">
        <f t="shared" si="8"/>
        <v>0.0775193798449612</v>
      </c>
      <c r="R49" s="273" t="str">
        <f>IFERROR(SUMIF(#REF!,$A49,#REF!),"")</f>
        <v/>
      </c>
      <c r="S49" s="274" t="e">
        <f t="shared" si="9"/>
        <v>#VALUE!</v>
      </c>
      <c r="T49" s="275">
        <v>5910334432</v>
      </c>
      <c r="U49" s="229" t="e">
        <f t="shared" si="3"/>
        <v>#VALUE!</v>
      </c>
      <c r="V49" s="246">
        <v>5</v>
      </c>
      <c r="W49" s="246" t="s">
        <v>56</v>
      </c>
      <c r="X49" s="279"/>
    </row>
    <row r="50" s="246" customFormat="1" customHeight="1" spans="1:24">
      <c r="A50" s="193">
        <v>20230529</v>
      </c>
      <c r="B50" s="193" t="s">
        <v>148</v>
      </c>
      <c r="C50" s="193" t="s">
        <v>25</v>
      </c>
      <c r="D50" s="193" t="s">
        <v>149</v>
      </c>
      <c r="E50" s="193" t="s">
        <v>150</v>
      </c>
      <c r="F50" s="193"/>
      <c r="G50" s="251">
        <v>45039</v>
      </c>
      <c r="H50" s="193" t="s">
        <v>151</v>
      </c>
      <c r="I50" s="193" t="s">
        <v>151</v>
      </c>
      <c r="J50" s="258">
        <v>7</v>
      </c>
      <c r="K50" s="258">
        <v>797</v>
      </c>
      <c r="L50" s="258">
        <v>2035</v>
      </c>
      <c r="M50" s="258">
        <f t="shared" si="6"/>
        <v>1238</v>
      </c>
      <c r="N50" s="259">
        <f t="shared" si="7"/>
        <v>0.608353808353808</v>
      </c>
      <c r="O50" s="258">
        <v>100</v>
      </c>
      <c r="P50" s="257">
        <f t="shared" si="4"/>
        <v>700</v>
      </c>
      <c r="Q50" s="272">
        <f t="shared" si="8"/>
        <v>0.0491400491400491</v>
      </c>
      <c r="R50" s="273" t="str">
        <f>IFERROR(SUMIF(#REF!,$A50,#REF!),"")</f>
        <v/>
      </c>
      <c r="S50" s="274" t="e">
        <f t="shared" si="9"/>
        <v>#VALUE!</v>
      </c>
      <c r="T50" s="275">
        <v>5910326937</v>
      </c>
      <c r="U50" s="229" t="e">
        <f t="shared" si="3"/>
        <v>#VALUE!</v>
      </c>
      <c r="V50" s="246">
        <v>2</v>
      </c>
      <c r="W50" s="246" t="s">
        <v>30</v>
      </c>
      <c r="X50" s="279"/>
    </row>
    <row r="51" customHeight="1" spans="1:24">
      <c r="A51" s="7">
        <v>20230530</v>
      </c>
      <c r="B51" s="7" t="s">
        <v>97</v>
      </c>
      <c r="C51" s="7" t="s">
        <v>98</v>
      </c>
      <c r="D51" s="7" t="s">
        <v>152</v>
      </c>
      <c r="E51" s="7" t="s">
        <v>153</v>
      </c>
      <c r="F51" s="7"/>
      <c r="G51" s="254"/>
      <c r="H51" s="7" t="s">
        <v>29</v>
      </c>
      <c r="I51" s="7" t="s">
        <v>154</v>
      </c>
      <c r="J51" s="255">
        <v>20</v>
      </c>
      <c r="K51" s="255">
        <v>5300</v>
      </c>
      <c r="L51" s="255">
        <v>6520</v>
      </c>
      <c r="M51" s="255">
        <v>1220</v>
      </c>
      <c r="N51" s="261">
        <v>0.187116564417178</v>
      </c>
      <c r="O51" s="255">
        <v>100</v>
      </c>
      <c r="P51" s="262">
        <v>2000</v>
      </c>
      <c r="Q51" s="276">
        <v>0.0153374233128834</v>
      </c>
      <c r="R51" s="269" t="str">
        <f>IFERROR(SUMIF(#REF!,$A51,#REF!),"")</f>
        <v/>
      </c>
      <c r="S51" s="277">
        <v>0.187116564417178</v>
      </c>
      <c r="T51" s="278">
        <v>5910321830</v>
      </c>
      <c r="U51" s="174" t="e">
        <f t="shared" si="3"/>
        <v>#VALUE!</v>
      </c>
      <c r="V51">
        <v>1</v>
      </c>
      <c r="W51" t="s">
        <v>30</v>
      </c>
      <c r="X51" s="279">
        <v>45100</v>
      </c>
    </row>
    <row r="52" customHeight="1" spans="1:25">
      <c r="A52" s="7">
        <v>20230531</v>
      </c>
      <c r="B52" s="7" t="s">
        <v>97</v>
      </c>
      <c r="C52" s="7" t="s">
        <v>98</v>
      </c>
      <c r="D52" s="7" t="s">
        <v>155</v>
      </c>
      <c r="E52" s="7" t="s">
        <v>156</v>
      </c>
      <c r="F52" s="7"/>
      <c r="G52" s="254"/>
      <c r="H52" s="7" t="s">
        <v>29</v>
      </c>
      <c r="I52" s="7" t="s">
        <v>157</v>
      </c>
      <c r="J52" s="255">
        <v>5</v>
      </c>
      <c r="K52" s="255">
        <v>3863.426</v>
      </c>
      <c r="L52" s="255">
        <v>4457</v>
      </c>
      <c r="M52" s="255">
        <v>593.574</v>
      </c>
      <c r="N52" s="261">
        <v>0.133177922369307</v>
      </c>
      <c r="O52" s="255">
        <v>50</v>
      </c>
      <c r="P52" s="262">
        <v>250</v>
      </c>
      <c r="Q52" s="276">
        <v>0.0112183082791115</v>
      </c>
      <c r="R52" s="269" t="str">
        <f>IFERROR(SUMIF(#REF!,$A52,#REF!),"")</f>
        <v/>
      </c>
      <c r="S52" s="277">
        <v>0.133177922369307</v>
      </c>
      <c r="T52" s="278">
        <v>4100149588</v>
      </c>
      <c r="U52" s="174" t="e">
        <f t="shared" si="3"/>
        <v>#VALUE!</v>
      </c>
      <c r="X52" s="279"/>
      <c r="Y52">
        <f t="shared" ref="Y52:Y66" si="10">O52*J52</f>
        <v>250</v>
      </c>
    </row>
    <row r="53" customHeight="1" spans="1:25">
      <c r="A53" s="7">
        <v>20230532</v>
      </c>
      <c r="B53" s="7" t="s">
        <v>97</v>
      </c>
      <c r="C53" s="7" t="s">
        <v>98</v>
      </c>
      <c r="D53" s="7" t="s">
        <v>155</v>
      </c>
      <c r="E53" s="7" t="s">
        <v>156</v>
      </c>
      <c r="F53" s="7"/>
      <c r="G53" s="254"/>
      <c r="H53" s="7"/>
      <c r="I53" s="7" t="s">
        <v>158</v>
      </c>
      <c r="J53" s="255">
        <v>11</v>
      </c>
      <c r="K53" s="255">
        <v>3514.15090909</v>
      </c>
      <c r="L53" s="255">
        <v>4795</v>
      </c>
      <c r="M53" s="255">
        <v>1280.84909091</v>
      </c>
      <c r="N53" s="261">
        <v>0.267121812494265</v>
      </c>
      <c r="O53" s="255">
        <v>50</v>
      </c>
      <c r="P53" s="262">
        <v>550</v>
      </c>
      <c r="Q53" s="276">
        <v>0.0104275286757039</v>
      </c>
      <c r="R53" s="269" t="str">
        <f>IFERROR(SUMIF(#REF!,$A53,#REF!),"")</f>
        <v/>
      </c>
      <c r="S53" s="277">
        <v>0.267121812494265</v>
      </c>
      <c r="T53" s="278">
        <v>4100149296</v>
      </c>
      <c r="U53" s="174" t="e">
        <f t="shared" si="3"/>
        <v>#VALUE!</v>
      </c>
      <c r="X53" s="279"/>
      <c r="Y53">
        <f t="shared" si="10"/>
        <v>550</v>
      </c>
    </row>
    <row r="54" customHeight="1" spans="1:25">
      <c r="A54" s="7">
        <v>20230533</v>
      </c>
      <c r="B54" s="7" t="s">
        <v>97</v>
      </c>
      <c r="C54" s="7" t="s">
        <v>98</v>
      </c>
      <c r="D54" s="7" t="s">
        <v>155</v>
      </c>
      <c r="E54" s="7" t="s">
        <v>159</v>
      </c>
      <c r="F54" s="7"/>
      <c r="G54" s="254"/>
      <c r="H54" s="7" t="s">
        <v>160</v>
      </c>
      <c r="I54" s="7" t="s">
        <v>161</v>
      </c>
      <c r="J54" s="255">
        <v>10</v>
      </c>
      <c r="K54" s="255">
        <v>4687.164</v>
      </c>
      <c r="L54" s="255">
        <v>7550</v>
      </c>
      <c r="M54" s="255">
        <v>2862.836</v>
      </c>
      <c r="N54" s="261">
        <v>0.37918357615894</v>
      </c>
      <c r="O54" s="255">
        <v>100</v>
      </c>
      <c r="P54" s="262">
        <v>1000</v>
      </c>
      <c r="Q54" s="276">
        <v>0.0132450331125828</v>
      </c>
      <c r="R54" s="269" t="str">
        <f>IFERROR(SUMIF(#REF!,$A54,#REF!),"")</f>
        <v/>
      </c>
      <c r="S54" s="277">
        <v>0.37918357615894</v>
      </c>
      <c r="T54" s="278">
        <v>5910098919</v>
      </c>
      <c r="U54" s="174" t="e">
        <f t="shared" si="3"/>
        <v>#VALUE!</v>
      </c>
      <c r="X54" s="279"/>
      <c r="Y54">
        <f t="shared" si="10"/>
        <v>1000</v>
      </c>
    </row>
    <row r="55" customHeight="1" spans="1:24">
      <c r="A55" s="7">
        <v>20230534</v>
      </c>
      <c r="B55" s="7" t="s">
        <v>97</v>
      </c>
      <c r="C55" s="7" t="s">
        <v>98</v>
      </c>
      <c r="D55" s="7" t="s">
        <v>152</v>
      </c>
      <c r="E55" s="7" t="s">
        <v>153</v>
      </c>
      <c r="F55" s="7"/>
      <c r="G55" s="254"/>
      <c r="H55" s="7" t="s">
        <v>160</v>
      </c>
      <c r="I55" s="7" t="s">
        <v>162</v>
      </c>
      <c r="J55" s="255">
        <v>20</v>
      </c>
      <c r="K55" s="255">
        <v>3850</v>
      </c>
      <c r="L55" s="255">
        <v>6850</v>
      </c>
      <c r="M55" s="255">
        <v>3000</v>
      </c>
      <c r="N55" s="261">
        <v>0.437956204379562</v>
      </c>
      <c r="O55" s="255">
        <v>100</v>
      </c>
      <c r="P55" s="262">
        <v>2000</v>
      </c>
      <c r="Q55" s="276">
        <v>0.0145985401459854</v>
      </c>
      <c r="R55" s="269" t="str">
        <f>IFERROR(SUMIF(#REF!,$A55,#REF!),"")</f>
        <v/>
      </c>
      <c r="S55" s="277">
        <v>0.437956204379562</v>
      </c>
      <c r="T55" s="278">
        <v>5909829283</v>
      </c>
      <c r="U55" s="174" t="e">
        <f t="shared" si="3"/>
        <v>#VALUE!</v>
      </c>
      <c r="V55">
        <v>2</v>
      </c>
      <c r="W55" t="s">
        <v>49</v>
      </c>
      <c r="X55" s="279">
        <v>45100</v>
      </c>
    </row>
    <row r="56" customHeight="1" spans="1:24">
      <c r="A56" s="7">
        <v>20230535</v>
      </c>
      <c r="B56" s="7" t="s">
        <v>97</v>
      </c>
      <c r="C56" s="7" t="s">
        <v>98</v>
      </c>
      <c r="D56" s="7" t="s">
        <v>152</v>
      </c>
      <c r="E56" s="7" t="s">
        <v>153</v>
      </c>
      <c r="F56" s="7"/>
      <c r="G56" s="254"/>
      <c r="H56" s="7" t="s">
        <v>160</v>
      </c>
      <c r="I56" s="7" t="s">
        <v>162</v>
      </c>
      <c r="J56" s="255">
        <v>20</v>
      </c>
      <c r="K56" s="255">
        <v>3850</v>
      </c>
      <c r="L56" s="255">
        <v>6675</v>
      </c>
      <c r="M56" s="255">
        <v>2825</v>
      </c>
      <c r="N56" s="261">
        <v>0.423220973782772</v>
      </c>
      <c r="O56" s="255">
        <v>100</v>
      </c>
      <c r="P56" s="262">
        <v>2000</v>
      </c>
      <c r="Q56" s="276">
        <v>0.0149812734082397</v>
      </c>
      <c r="R56" s="269" t="str">
        <f>IFERROR(SUMIF(#REF!,$A56,#REF!),"")</f>
        <v/>
      </c>
      <c r="S56" s="277">
        <v>0.423220973782772</v>
      </c>
      <c r="T56" s="278">
        <v>1901091021</v>
      </c>
      <c r="U56" s="174" t="e">
        <f t="shared" si="3"/>
        <v>#VALUE!</v>
      </c>
      <c r="V56">
        <v>3</v>
      </c>
      <c r="W56" t="s">
        <v>163</v>
      </c>
      <c r="X56" s="279">
        <v>45100</v>
      </c>
    </row>
    <row r="57" customHeight="1" spans="1:24">
      <c r="A57" s="7">
        <v>20230536</v>
      </c>
      <c r="B57" s="7" t="s">
        <v>97</v>
      </c>
      <c r="C57" s="7" t="s">
        <v>98</v>
      </c>
      <c r="D57" s="7" t="s">
        <v>152</v>
      </c>
      <c r="E57" s="7" t="s">
        <v>153</v>
      </c>
      <c r="F57" s="7"/>
      <c r="G57" s="254"/>
      <c r="H57" s="7" t="s">
        <v>160</v>
      </c>
      <c r="I57" s="7" t="s">
        <v>164</v>
      </c>
      <c r="J57" s="255">
        <v>20</v>
      </c>
      <c r="K57" s="255">
        <v>3850</v>
      </c>
      <c r="L57" s="255">
        <v>5694</v>
      </c>
      <c r="M57" s="255">
        <v>1844</v>
      </c>
      <c r="N57" s="261">
        <v>0.32384966631542</v>
      </c>
      <c r="O57" s="255">
        <v>100</v>
      </c>
      <c r="P57" s="262">
        <v>2000</v>
      </c>
      <c r="Q57" s="276">
        <v>0.0175623463294696</v>
      </c>
      <c r="R57" s="269" t="str">
        <f>IFERROR(SUMIF(#REF!,$A57,#REF!),"")</f>
        <v/>
      </c>
      <c r="S57" s="277">
        <v>0.32384966631542</v>
      </c>
      <c r="T57" s="278">
        <v>5910376785</v>
      </c>
      <c r="U57" s="174" t="e">
        <f t="shared" si="3"/>
        <v>#VALUE!</v>
      </c>
      <c r="V57">
        <v>4</v>
      </c>
      <c r="W57" t="s">
        <v>56</v>
      </c>
      <c r="X57" s="279">
        <v>45100</v>
      </c>
    </row>
    <row r="58" customHeight="1" spans="1:25">
      <c r="A58" s="7">
        <v>20230537</v>
      </c>
      <c r="B58" s="7" t="s">
        <v>97</v>
      </c>
      <c r="C58" s="7" t="s">
        <v>98</v>
      </c>
      <c r="D58" s="7" t="s">
        <v>155</v>
      </c>
      <c r="E58" s="7" t="s">
        <v>156</v>
      </c>
      <c r="F58" s="7"/>
      <c r="G58" s="254"/>
      <c r="H58" s="7"/>
      <c r="I58" s="7" t="s">
        <v>165</v>
      </c>
      <c r="J58" s="255">
        <v>22</v>
      </c>
      <c r="K58" s="255">
        <v>3362.8318584</v>
      </c>
      <c r="L58" s="255">
        <v>4262</v>
      </c>
      <c r="M58" s="255">
        <v>899.1681416</v>
      </c>
      <c r="N58" s="261">
        <v>0.210973285218207</v>
      </c>
      <c r="O58" s="255">
        <v>50</v>
      </c>
      <c r="P58" s="262">
        <v>1100</v>
      </c>
      <c r="Q58" s="276">
        <v>0.011731581417175</v>
      </c>
      <c r="R58" s="269" t="str">
        <f>IFERROR(SUMIF(#REF!,$A58,#REF!),"")</f>
        <v/>
      </c>
      <c r="S58" s="277">
        <v>0.210973285218207</v>
      </c>
      <c r="T58" s="278">
        <v>4100147694</v>
      </c>
      <c r="U58" s="174" t="e">
        <f t="shared" si="3"/>
        <v>#VALUE!</v>
      </c>
      <c r="X58" s="279"/>
      <c r="Y58">
        <f t="shared" si="10"/>
        <v>1100</v>
      </c>
    </row>
    <row r="59" customHeight="1" spans="1:25">
      <c r="A59" s="7">
        <v>20230538</v>
      </c>
      <c r="B59" s="7" t="s">
        <v>97</v>
      </c>
      <c r="C59" s="7" t="s">
        <v>98</v>
      </c>
      <c r="D59" s="7" t="s">
        <v>155</v>
      </c>
      <c r="E59" s="7" t="s">
        <v>156</v>
      </c>
      <c r="F59" s="7"/>
      <c r="G59" s="254"/>
      <c r="H59" s="7"/>
      <c r="I59" s="7" t="s">
        <v>158</v>
      </c>
      <c r="J59" s="255">
        <v>11</v>
      </c>
      <c r="K59" s="255">
        <v>3534.15090909</v>
      </c>
      <c r="L59" s="255">
        <v>4795</v>
      </c>
      <c r="M59" s="255">
        <v>1260.84909091</v>
      </c>
      <c r="N59" s="261">
        <v>0.262950801023983</v>
      </c>
      <c r="O59" s="255">
        <v>50</v>
      </c>
      <c r="P59" s="262">
        <v>550</v>
      </c>
      <c r="Q59" s="276">
        <v>0.0104275286757039</v>
      </c>
      <c r="R59" s="269" t="str">
        <f>IFERROR(SUMIF(#REF!,$A59,#REF!),"")</f>
        <v/>
      </c>
      <c r="S59" s="277">
        <v>0.262950801023983</v>
      </c>
      <c r="T59" s="278">
        <v>4100149296</v>
      </c>
      <c r="U59" s="174" t="e">
        <f t="shared" si="3"/>
        <v>#VALUE!</v>
      </c>
      <c r="X59" s="279"/>
      <c r="Y59">
        <f t="shared" si="10"/>
        <v>550</v>
      </c>
    </row>
    <row r="60" customHeight="1" spans="1:25">
      <c r="A60" s="7">
        <v>20230539</v>
      </c>
      <c r="B60" s="7" t="s">
        <v>97</v>
      </c>
      <c r="C60" s="7" t="s">
        <v>98</v>
      </c>
      <c r="D60" s="7" t="s">
        <v>166</v>
      </c>
      <c r="E60" s="7" t="s">
        <v>167</v>
      </c>
      <c r="F60" s="7"/>
      <c r="G60" s="254"/>
      <c r="H60" s="7" t="s">
        <v>29</v>
      </c>
      <c r="I60" s="7" t="s">
        <v>168</v>
      </c>
      <c r="J60" s="255">
        <v>1</v>
      </c>
      <c r="K60" s="255">
        <v>5538.96</v>
      </c>
      <c r="L60" s="255">
        <v>6975</v>
      </c>
      <c r="M60" s="255">
        <v>1436.04</v>
      </c>
      <c r="N60" s="261">
        <v>0.205883870967742</v>
      </c>
      <c r="O60" s="255">
        <v>100</v>
      </c>
      <c r="P60" s="262">
        <v>100</v>
      </c>
      <c r="Q60" s="276">
        <v>0.014336917562724</v>
      </c>
      <c r="R60" s="269" t="str">
        <f>IFERROR(SUMIF(#REF!,$A60,#REF!),"")</f>
        <v/>
      </c>
      <c r="S60" s="277">
        <v>0.205883870967742</v>
      </c>
      <c r="T60" s="278">
        <v>4100136417</v>
      </c>
      <c r="U60" s="174" t="e">
        <f t="shared" si="3"/>
        <v>#VALUE!</v>
      </c>
      <c r="X60" s="279"/>
      <c r="Y60">
        <f t="shared" si="10"/>
        <v>100</v>
      </c>
    </row>
    <row r="61" customHeight="1" spans="1:25">
      <c r="A61" s="7">
        <v>20230540</v>
      </c>
      <c r="B61" s="7" t="s">
        <v>97</v>
      </c>
      <c r="C61" s="7" t="s">
        <v>98</v>
      </c>
      <c r="D61" s="7" t="s">
        <v>169</v>
      </c>
      <c r="E61" s="7"/>
      <c r="F61" s="7"/>
      <c r="G61" s="254"/>
      <c r="H61" s="7" t="s">
        <v>29</v>
      </c>
      <c r="I61" s="7" t="s">
        <v>170</v>
      </c>
      <c r="J61" s="255">
        <v>20</v>
      </c>
      <c r="K61" s="255">
        <v>5424.096</v>
      </c>
      <c r="L61" s="255">
        <v>7300</v>
      </c>
      <c r="M61" s="255">
        <v>1875.904</v>
      </c>
      <c r="N61" s="261">
        <v>0.256973150684931</v>
      </c>
      <c r="O61" s="255">
        <v>100</v>
      </c>
      <c r="P61" s="262">
        <v>2000</v>
      </c>
      <c r="Q61" s="276">
        <v>0.0136986301369863</v>
      </c>
      <c r="R61" s="269" t="str">
        <f>IFERROR(SUMIF(#REF!,$A61,#REF!),"")</f>
        <v/>
      </c>
      <c r="S61" s="277">
        <v>0.256973150684932</v>
      </c>
      <c r="T61" s="278">
        <v>5909969020</v>
      </c>
      <c r="U61" s="174" t="e">
        <f t="shared" si="3"/>
        <v>#VALUE!</v>
      </c>
      <c r="X61" s="279"/>
      <c r="Y61">
        <f t="shared" si="10"/>
        <v>2000</v>
      </c>
    </row>
    <row r="62" customHeight="1" spans="1:24">
      <c r="A62" s="7">
        <v>20230541</v>
      </c>
      <c r="B62" s="7" t="s">
        <v>97</v>
      </c>
      <c r="C62" s="7" t="s">
        <v>98</v>
      </c>
      <c r="D62" s="7" t="s">
        <v>152</v>
      </c>
      <c r="E62" s="7" t="s">
        <v>153</v>
      </c>
      <c r="F62" s="7"/>
      <c r="G62" s="254"/>
      <c r="H62" s="7" t="s">
        <v>29</v>
      </c>
      <c r="I62" s="7" t="s">
        <v>171</v>
      </c>
      <c r="J62" s="255">
        <v>10</v>
      </c>
      <c r="K62" s="255">
        <v>5300</v>
      </c>
      <c r="L62" s="255">
        <v>6520</v>
      </c>
      <c r="M62" s="255">
        <v>1220</v>
      </c>
      <c r="N62" s="261">
        <v>0.187116564417178</v>
      </c>
      <c r="O62" s="255">
        <v>100</v>
      </c>
      <c r="P62" s="262">
        <v>1000</v>
      </c>
      <c r="Q62" s="276">
        <v>0.0153374233128834</v>
      </c>
      <c r="R62" s="269" t="str">
        <f>IFERROR(SUMIF(#REF!,$A62,#REF!),"")</f>
        <v/>
      </c>
      <c r="S62" s="277">
        <v>0.187116564417178</v>
      </c>
      <c r="T62" s="278">
        <v>5910376841</v>
      </c>
      <c r="U62" s="174" t="e">
        <f t="shared" si="3"/>
        <v>#VALUE!</v>
      </c>
      <c r="V62">
        <v>5</v>
      </c>
      <c r="W62" t="s">
        <v>56</v>
      </c>
      <c r="X62" s="279">
        <v>45100</v>
      </c>
    </row>
    <row r="63" customHeight="1" spans="1:24">
      <c r="A63" s="7">
        <v>20230542</v>
      </c>
      <c r="B63" s="7" t="s">
        <v>97</v>
      </c>
      <c r="C63" s="7" t="s">
        <v>98</v>
      </c>
      <c r="D63" s="7" t="s">
        <v>152</v>
      </c>
      <c r="E63" s="7" t="s">
        <v>153</v>
      </c>
      <c r="F63" s="7"/>
      <c r="G63" s="254"/>
      <c r="H63" s="7" t="s">
        <v>160</v>
      </c>
      <c r="I63" s="7" t="s">
        <v>164</v>
      </c>
      <c r="J63" s="255">
        <v>20</v>
      </c>
      <c r="K63" s="255">
        <v>3850</v>
      </c>
      <c r="L63" s="255">
        <v>5694</v>
      </c>
      <c r="M63" s="255">
        <v>1844</v>
      </c>
      <c r="N63" s="261">
        <v>0.32384966631542</v>
      </c>
      <c r="O63" s="255">
        <v>100</v>
      </c>
      <c r="P63" s="262">
        <v>2000</v>
      </c>
      <c r="Q63" s="276">
        <v>0.0175623463294696</v>
      </c>
      <c r="R63" s="269" t="str">
        <f>IFERROR(SUMIF(#REF!,$A63,#REF!),"")</f>
        <v/>
      </c>
      <c r="S63" s="277">
        <v>0.32384966631542</v>
      </c>
      <c r="T63" s="278">
        <v>5910376785</v>
      </c>
      <c r="U63" s="174" t="e">
        <f t="shared" si="3"/>
        <v>#VALUE!</v>
      </c>
      <c r="V63">
        <v>6</v>
      </c>
      <c r="W63" t="s">
        <v>56</v>
      </c>
      <c r="X63" s="279">
        <v>45100</v>
      </c>
    </row>
    <row r="64" customHeight="1" spans="1:24">
      <c r="A64" s="7">
        <v>20230543</v>
      </c>
      <c r="B64" s="7" t="s">
        <v>97</v>
      </c>
      <c r="C64" s="7" t="s">
        <v>98</v>
      </c>
      <c r="D64" s="7" t="s">
        <v>152</v>
      </c>
      <c r="E64" s="7" t="s">
        <v>153</v>
      </c>
      <c r="F64" s="7"/>
      <c r="G64" s="254"/>
      <c r="H64" s="7" t="s">
        <v>160</v>
      </c>
      <c r="I64" s="7" t="s">
        <v>164</v>
      </c>
      <c r="J64" s="255">
        <v>20</v>
      </c>
      <c r="K64" s="255">
        <v>3850</v>
      </c>
      <c r="L64" s="255">
        <v>5694</v>
      </c>
      <c r="M64" s="255">
        <v>1844</v>
      </c>
      <c r="N64" s="261">
        <v>0.32384966631542</v>
      </c>
      <c r="O64" s="255">
        <v>100</v>
      </c>
      <c r="P64" s="262">
        <v>2000</v>
      </c>
      <c r="Q64" s="276">
        <v>0.0175623463294696</v>
      </c>
      <c r="R64" s="269" t="str">
        <f>IFERROR(SUMIF(#REF!,$A64,#REF!),"")</f>
        <v/>
      </c>
      <c r="S64" s="277">
        <v>0.32384966631542</v>
      </c>
      <c r="T64" s="278">
        <v>5910514845</v>
      </c>
      <c r="U64" s="174" t="e">
        <f t="shared" si="3"/>
        <v>#VALUE!</v>
      </c>
      <c r="W64" t="s">
        <v>172</v>
      </c>
      <c r="X64" s="279">
        <v>45100</v>
      </c>
    </row>
    <row r="65" customHeight="1" spans="1:25">
      <c r="A65" s="7">
        <v>20230544</v>
      </c>
      <c r="B65" s="7" t="s">
        <v>97</v>
      </c>
      <c r="C65" s="7" t="s">
        <v>98</v>
      </c>
      <c r="D65" s="7" t="s">
        <v>173</v>
      </c>
      <c r="E65" s="7" t="s">
        <v>174</v>
      </c>
      <c r="F65" s="7"/>
      <c r="G65" s="254"/>
      <c r="H65" s="7"/>
      <c r="I65" s="7" t="s">
        <v>175</v>
      </c>
      <c r="J65" s="255">
        <v>100</v>
      </c>
      <c r="K65" s="255">
        <v>2850</v>
      </c>
      <c r="L65" s="255">
        <v>3585</v>
      </c>
      <c r="M65" s="255">
        <v>735</v>
      </c>
      <c r="N65" s="261">
        <v>0.205020920502092</v>
      </c>
      <c r="O65" s="255">
        <v>50</v>
      </c>
      <c r="P65" s="262">
        <v>5000</v>
      </c>
      <c r="Q65" s="276">
        <v>0.0139470013947001</v>
      </c>
      <c r="R65" s="269" t="str">
        <f>IFERROR(SUMIF(#REF!,$A65,#REF!),"")</f>
        <v/>
      </c>
      <c r="S65" s="277">
        <v>0.205020920502092</v>
      </c>
      <c r="T65" s="278">
        <v>4100152826</v>
      </c>
      <c r="U65" s="174" t="e">
        <f t="shared" si="3"/>
        <v>#VALUE!</v>
      </c>
      <c r="X65" s="279"/>
      <c r="Y65">
        <f t="shared" si="10"/>
        <v>5000</v>
      </c>
    </row>
    <row r="66" customHeight="1" spans="1:25">
      <c r="A66" s="7">
        <v>20230545</v>
      </c>
      <c r="B66" s="7" t="s">
        <v>97</v>
      </c>
      <c r="C66" s="7" t="s">
        <v>98</v>
      </c>
      <c r="D66" s="7" t="s">
        <v>166</v>
      </c>
      <c r="E66" s="7" t="s">
        <v>167</v>
      </c>
      <c r="F66" s="7"/>
      <c r="G66" s="254"/>
      <c r="H66" s="7"/>
      <c r="I66" s="7" t="s">
        <v>176</v>
      </c>
      <c r="J66" s="255">
        <v>15</v>
      </c>
      <c r="K66" s="255">
        <v>6720</v>
      </c>
      <c r="L66" s="255"/>
      <c r="M66" s="255">
        <v>-6720</v>
      </c>
      <c r="N66" s="261" t="s">
        <v>101</v>
      </c>
      <c r="O66" s="255"/>
      <c r="P66" s="262">
        <v>0</v>
      </c>
      <c r="Q66" s="276" t="s">
        <v>101</v>
      </c>
      <c r="R66" s="269" t="str">
        <f>IFERROR(SUMIF(#REF!,$A66,#REF!),"")</f>
        <v/>
      </c>
      <c r="S66" s="277" t="s">
        <v>101</v>
      </c>
      <c r="T66" s="278">
        <v>4100135600</v>
      </c>
      <c r="U66" s="174" t="e">
        <f t="shared" si="3"/>
        <v>#VALUE!</v>
      </c>
      <c r="X66" s="279"/>
      <c r="Y66">
        <f t="shared" si="10"/>
        <v>0</v>
      </c>
    </row>
    <row r="67" s="246" customFormat="1" customHeight="1" spans="1:24">
      <c r="A67" s="193">
        <v>20230546</v>
      </c>
      <c r="B67" s="193" t="s">
        <v>97</v>
      </c>
      <c r="C67" s="193" t="s">
        <v>98</v>
      </c>
      <c r="D67" s="193" t="s">
        <v>177</v>
      </c>
      <c r="E67" s="193" t="s">
        <v>178</v>
      </c>
      <c r="F67" s="193"/>
      <c r="G67" s="251"/>
      <c r="H67" s="193"/>
      <c r="I67" s="193"/>
      <c r="J67" s="258"/>
      <c r="K67" s="258"/>
      <c r="L67" s="258"/>
      <c r="M67" s="258">
        <v>0</v>
      </c>
      <c r="N67" s="259" t="s">
        <v>101</v>
      </c>
      <c r="O67" s="258"/>
      <c r="P67" s="257">
        <v>0</v>
      </c>
      <c r="Q67" s="272" t="s">
        <v>101</v>
      </c>
      <c r="R67" s="273" t="str">
        <f>IFERROR(SUMIF(#REF!,$A67,#REF!),"")</f>
        <v/>
      </c>
      <c r="S67" s="274" t="s">
        <v>101</v>
      </c>
      <c r="T67" s="275" t="s">
        <v>101</v>
      </c>
      <c r="U67" s="229" t="e">
        <f t="shared" si="3"/>
        <v>#VALUE!</v>
      </c>
      <c r="V67"/>
      <c r="X67" s="279"/>
    </row>
    <row r="68" customHeight="1" spans="1:25">
      <c r="A68" s="7">
        <v>20230547</v>
      </c>
      <c r="B68" s="7" t="s">
        <v>97</v>
      </c>
      <c r="C68" s="7" t="s">
        <v>98</v>
      </c>
      <c r="D68" s="7"/>
      <c r="E68" s="7" t="s">
        <v>179</v>
      </c>
      <c r="F68" s="7"/>
      <c r="G68" s="254"/>
      <c r="H68" s="7"/>
      <c r="I68" s="7"/>
      <c r="J68" s="255">
        <v>1</v>
      </c>
      <c r="K68" s="255">
        <v>40000</v>
      </c>
      <c r="L68" s="255">
        <v>82367.3</v>
      </c>
      <c r="M68" s="255">
        <v>42367.3</v>
      </c>
      <c r="N68" s="261">
        <v>0.514370387277475</v>
      </c>
      <c r="O68" s="255">
        <v>1000</v>
      </c>
      <c r="P68" s="262">
        <v>1000</v>
      </c>
      <c r="Q68" s="276">
        <v>0.0121407403180631</v>
      </c>
      <c r="R68" s="269" t="str">
        <f>IFERROR(SUMIF(#REF!,$A68,#REF!),"")</f>
        <v/>
      </c>
      <c r="S68" s="277">
        <v>0.514370387277475</v>
      </c>
      <c r="T68" s="278">
        <v>4100133490</v>
      </c>
      <c r="U68" s="174" t="e">
        <f t="shared" si="3"/>
        <v>#VALUE!</v>
      </c>
      <c r="X68" s="279"/>
      <c r="Y68">
        <f>O68*J68</f>
        <v>1000</v>
      </c>
    </row>
    <row r="69" customHeight="1" spans="1:25">
      <c r="A69" s="7">
        <v>20230601</v>
      </c>
      <c r="B69" s="7" t="s">
        <v>180</v>
      </c>
      <c r="C69" s="7" t="s">
        <v>98</v>
      </c>
      <c r="D69" s="7" t="s">
        <v>155</v>
      </c>
      <c r="E69" s="7" t="s">
        <v>156</v>
      </c>
      <c r="F69" s="7"/>
      <c r="G69" s="254"/>
      <c r="H69" s="7"/>
      <c r="I69" s="7" t="s">
        <v>116</v>
      </c>
      <c r="J69" s="255">
        <v>22</v>
      </c>
      <c r="K69" s="255"/>
      <c r="L69" s="255"/>
      <c r="M69" s="255"/>
      <c r="N69" s="261" t="str">
        <f t="shared" ref="N69:N91" si="11">IF(AND($M69&lt;&gt;0,$L69&lt;&gt;0),$M69/$L69,"")</f>
        <v/>
      </c>
      <c r="O69" s="255">
        <v>50</v>
      </c>
      <c r="P69" s="262">
        <f t="shared" ref="P69:P80" si="12">O69*J69</f>
        <v>1100</v>
      </c>
      <c r="Q69" s="276" t="s">
        <v>101</v>
      </c>
      <c r="R69" s="269" t="str">
        <f>IFERROR(SUMIF(#REF!,$A69,#REF!),"")</f>
        <v/>
      </c>
      <c r="S69" s="277" t="s">
        <v>101</v>
      </c>
      <c r="T69" s="278" t="s">
        <v>101</v>
      </c>
      <c r="U69" s="174" t="e">
        <f t="shared" ref="U69:U84" si="13">R69-P69</f>
        <v>#VALUE!</v>
      </c>
      <c r="X69" s="279"/>
      <c r="Y69">
        <f>O69*J69</f>
        <v>1100</v>
      </c>
    </row>
    <row r="70" s="246" customFormat="1" customHeight="1" spans="1:24">
      <c r="A70" s="193">
        <v>20230602</v>
      </c>
      <c r="B70" s="193" t="s">
        <v>181</v>
      </c>
      <c r="C70" s="193" t="s">
        <v>25</v>
      </c>
      <c r="D70" s="193" t="s">
        <v>182</v>
      </c>
      <c r="E70" s="193" t="s">
        <v>183</v>
      </c>
      <c r="F70" s="193"/>
      <c r="G70" s="251" t="s">
        <v>88</v>
      </c>
      <c r="H70" s="193" t="s">
        <v>70</v>
      </c>
      <c r="I70" s="193" t="s">
        <v>70</v>
      </c>
      <c r="J70" s="258">
        <v>20</v>
      </c>
      <c r="K70" s="258">
        <v>557.52</v>
      </c>
      <c r="L70" s="258">
        <v>2059</v>
      </c>
      <c r="M70" s="258">
        <f t="shared" ref="M70:M90" si="14">L70-K70</f>
        <v>1501.48</v>
      </c>
      <c r="N70" s="259">
        <f t="shared" si="11"/>
        <v>0.729227780475959</v>
      </c>
      <c r="O70" s="258">
        <v>100</v>
      </c>
      <c r="P70" s="257">
        <f t="shared" si="12"/>
        <v>2000</v>
      </c>
      <c r="Q70" s="272">
        <f t="shared" ref="Q70:Q90" si="15">IF(AND($O70&lt;&gt;0,$L70&lt;&gt;0),$O70/$L70,"")</f>
        <v>0.0485672656629432</v>
      </c>
      <c r="R70" s="273" t="str">
        <f>IFERROR(SUMIF(#REF!,$A70,#REF!),"")</f>
        <v/>
      </c>
      <c r="S70" s="274" t="e">
        <f t="shared" ref="S70:S90" si="16">IF(AND(($M70*$J70-$R70)&lt;&gt;0,($L70*$J70)&lt;&gt;0),($M70*$J70-$R70)/($L70*$J70),"")</f>
        <v>#VALUE!</v>
      </c>
      <c r="T70" s="275">
        <v>5910893881</v>
      </c>
      <c r="U70" s="229" t="e">
        <f t="shared" si="13"/>
        <v>#VALUE!</v>
      </c>
      <c r="W70" s="246" t="s">
        <v>184</v>
      </c>
      <c r="X70" s="279">
        <v>45161</v>
      </c>
    </row>
    <row r="71" s="246" customFormat="1" customHeight="1" spans="1:24">
      <c r="A71" s="252">
        <v>20230603</v>
      </c>
      <c r="B71" s="252" t="s">
        <v>181</v>
      </c>
      <c r="C71" s="252" t="s">
        <v>25</v>
      </c>
      <c r="D71" s="252" t="s">
        <v>182</v>
      </c>
      <c r="E71" s="252" t="s">
        <v>185</v>
      </c>
      <c r="F71" s="252"/>
      <c r="G71" s="253" t="s">
        <v>88</v>
      </c>
      <c r="H71" s="252" t="s">
        <v>186</v>
      </c>
      <c r="I71" s="252" t="s">
        <v>186</v>
      </c>
      <c r="J71" s="266">
        <v>30</v>
      </c>
      <c r="K71" s="266">
        <v>425</v>
      </c>
      <c r="L71" s="266">
        <v>1200</v>
      </c>
      <c r="M71" s="266">
        <f t="shared" si="14"/>
        <v>775</v>
      </c>
      <c r="N71" s="267">
        <f t="shared" si="11"/>
        <v>0.645833333333333</v>
      </c>
      <c r="O71" s="266">
        <v>100</v>
      </c>
      <c r="P71" s="268">
        <f t="shared" si="12"/>
        <v>3000</v>
      </c>
      <c r="Q71" s="281">
        <f t="shared" si="15"/>
        <v>0.0833333333333333</v>
      </c>
      <c r="R71" s="282" t="str">
        <f>IFERROR(SUMIF(#REF!,$A71,#REF!),"")</f>
        <v/>
      </c>
      <c r="S71" s="283" t="e">
        <f t="shared" si="16"/>
        <v>#VALUE!</v>
      </c>
      <c r="T71" s="275" t="str">
        <f>IFERROR(VLOOKUP(A71,[1]商务费用支付申请!A:B,2,0),"")</f>
        <v/>
      </c>
      <c r="U71" s="284" t="e">
        <f t="shared" si="13"/>
        <v>#VALUE!</v>
      </c>
      <c r="V71" s="247" t="s">
        <v>187</v>
      </c>
      <c r="W71" s="247"/>
      <c r="X71" s="279"/>
    </row>
    <row r="72" s="246" customFormat="1" customHeight="1" spans="1:24">
      <c r="A72" s="193">
        <v>20230604</v>
      </c>
      <c r="B72" s="193" t="s">
        <v>181</v>
      </c>
      <c r="C72" s="193" t="s">
        <v>25</v>
      </c>
      <c r="D72" s="193" t="s">
        <v>72</v>
      </c>
      <c r="E72" s="193" t="s">
        <v>73</v>
      </c>
      <c r="F72" s="193"/>
      <c r="G72" s="193" t="s">
        <v>88</v>
      </c>
      <c r="H72" s="193" t="s">
        <v>188</v>
      </c>
      <c r="I72" s="193" t="s">
        <v>189</v>
      </c>
      <c r="J72" s="258">
        <v>17</v>
      </c>
      <c r="K72" s="258">
        <v>1195</v>
      </c>
      <c r="L72" s="258">
        <v>2050</v>
      </c>
      <c r="M72" s="258">
        <f t="shared" si="14"/>
        <v>855</v>
      </c>
      <c r="N72" s="259">
        <f t="shared" si="11"/>
        <v>0.417073170731707</v>
      </c>
      <c r="O72" s="258">
        <v>100</v>
      </c>
      <c r="P72" s="257">
        <f t="shared" si="12"/>
        <v>1700</v>
      </c>
      <c r="Q72" s="272">
        <f t="shared" si="15"/>
        <v>0.0487804878048781</v>
      </c>
      <c r="R72" s="273" t="str">
        <f>IFERROR(SUMIF(#REF!,$A72,#REF!),"")</f>
        <v/>
      </c>
      <c r="S72" s="274" t="e">
        <f t="shared" si="16"/>
        <v>#VALUE!</v>
      </c>
      <c r="T72" s="275">
        <v>5910697606</v>
      </c>
      <c r="U72" s="229" t="e">
        <f t="shared" si="13"/>
        <v>#VALUE!</v>
      </c>
      <c r="W72" s="246" t="s">
        <v>46</v>
      </c>
      <c r="X72" s="279">
        <v>45139</v>
      </c>
    </row>
    <row r="73" s="246" customFormat="1" customHeight="1" spans="1:24">
      <c r="A73" s="193">
        <v>20230605</v>
      </c>
      <c r="B73" s="193" t="s">
        <v>181</v>
      </c>
      <c r="C73" s="193" t="s">
        <v>25</v>
      </c>
      <c r="D73" s="193" t="s">
        <v>72</v>
      </c>
      <c r="E73" s="193" t="s">
        <v>73</v>
      </c>
      <c r="F73" s="193"/>
      <c r="G73" s="193" t="s">
        <v>88</v>
      </c>
      <c r="H73" s="193" t="s">
        <v>74</v>
      </c>
      <c r="I73" s="193" t="s">
        <v>74</v>
      </c>
      <c r="J73" s="258">
        <v>82</v>
      </c>
      <c r="K73" s="258">
        <v>700</v>
      </c>
      <c r="L73" s="258">
        <v>1290</v>
      </c>
      <c r="M73" s="258">
        <f t="shared" si="14"/>
        <v>590</v>
      </c>
      <c r="N73" s="259">
        <f t="shared" si="11"/>
        <v>0.457364341085271</v>
      </c>
      <c r="O73" s="258">
        <v>100</v>
      </c>
      <c r="P73" s="257">
        <f t="shared" si="12"/>
        <v>8200</v>
      </c>
      <c r="Q73" s="272">
        <f t="shared" si="15"/>
        <v>0.0775193798449612</v>
      </c>
      <c r="R73" s="273" t="str">
        <f>IFERROR(SUMIF(#REF!,$A73,#REF!),"")</f>
        <v/>
      </c>
      <c r="S73" s="274" t="e">
        <f t="shared" si="16"/>
        <v>#VALUE!</v>
      </c>
      <c r="T73" s="275">
        <v>5910736432</v>
      </c>
      <c r="U73" s="229" t="e">
        <f t="shared" si="13"/>
        <v>#VALUE!</v>
      </c>
      <c r="W73" s="246" t="s">
        <v>46</v>
      </c>
      <c r="X73" s="279">
        <v>45139</v>
      </c>
    </row>
    <row r="74" s="247" customFormat="1" customHeight="1" spans="1:24">
      <c r="A74" s="252">
        <v>20230606</v>
      </c>
      <c r="B74" s="252" t="s">
        <v>181</v>
      </c>
      <c r="C74" s="252" t="s">
        <v>25</v>
      </c>
      <c r="D74" s="252" t="s">
        <v>190</v>
      </c>
      <c r="E74" s="252" t="s">
        <v>191</v>
      </c>
      <c r="F74" s="252"/>
      <c r="G74" s="252" t="s">
        <v>88</v>
      </c>
      <c r="H74" s="252" t="s">
        <v>192</v>
      </c>
      <c r="I74" s="252" t="s">
        <v>193</v>
      </c>
      <c r="J74" s="266">
        <v>20</v>
      </c>
      <c r="K74" s="266">
        <v>1577</v>
      </c>
      <c r="L74" s="266">
        <v>3800</v>
      </c>
      <c r="M74" s="266">
        <f t="shared" si="14"/>
        <v>2223</v>
      </c>
      <c r="N74" s="267">
        <f t="shared" si="11"/>
        <v>0.585</v>
      </c>
      <c r="O74" s="266">
        <v>100</v>
      </c>
      <c r="P74" s="268">
        <f t="shared" si="12"/>
        <v>2000</v>
      </c>
      <c r="Q74" s="281">
        <f t="shared" si="15"/>
        <v>0.0263157894736842</v>
      </c>
      <c r="R74" s="282" t="str">
        <f>IFERROR(SUMIF(#REF!,$A74,#REF!),"")</f>
        <v/>
      </c>
      <c r="S74" s="283" t="e">
        <f t="shared" si="16"/>
        <v>#VALUE!</v>
      </c>
      <c r="T74" s="275" t="str">
        <f>IFERROR(VLOOKUP(A74,[1]商务费用支付申请!A:B,2,0),"")</f>
        <v/>
      </c>
      <c r="U74" s="284" t="e">
        <f t="shared" si="13"/>
        <v>#VALUE!</v>
      </c>
      <c r="V74" s="246"/>
      <c r="X74" s="285"/>
    </row>
    <row r="75" s="247" customFormat="1" customHeight="1" spans="1:24">
      <c r="A75" s="252">
        <v>20230607</v>
      </c>
      <c r="B75" s="252" t="s">
        <v>181</v>
      </c>
      <c r="C75" s="252" t="s">
        <v>25</v>
      </c>
      <c r="D75" s="252" t="s">
        <v>190</v>
      </c>
      <c r="E75" s="252" t="s">
        <v>191</v>
      </c>
      <c r="F75" s="252"/>
      <c r="G75" s="252" t="s">
        <v>88</v>
      </c>
      <c r="H75" s="252" t="s">
        <v>194</v>
      </c>
      <c r="I75" s="252" t="s">
        <v>195</v>
      </c>
      <c r="J75" s="266">
        <v>5</v>
      </c>
      <c r="K75" s="266">
        <v>1422</v>
      </c>
      <c r="L75" s="266">
        <v>3300</v>
      </c>
      <c r="M75" s="266">
        <f t="shared" si="14"/>
        <v>1878</v>
      </c>
      <c r="N75" s="267">
        <f t="shared" si="11"/>
        <v>0.569090909090909</v>
      </c>
      <c r="O75" s="266">
        <v>100</v>
      </c>
      <c r="P75" s="268">
        <f t="shared" si="12"/>
        <v>500</v>
      </c>
      <c r="Q75" s="281">
        <f t="shared" si="15"/>
        <v>0.0303030303030303</v>
      </c>
      <c r="R75" s="282" t="str">
        <f>IFERROR(SUMIF(#REF!,$A75,#REF!),"")</f>
        <v/>
      </c>
      <c r="S75" s="283" t="e">
        <f t="shared" si="16"/>
        <v>#VALUE!</v>
      </c>
      <c r="T75" s="275"/>
      <c r="U75" s="284" t="e">
        <f t="shared" si="13"/>
        <v>#VALUE!</v>
      </c>
      <c r="V75" s="246">
        <v>5</v>
      </c>
      <c r="W75" s="247" t="s">
        <v>56</v>
      </c>
      <c r="X75" s="285"/>
    </row>
    <row r="76" s="247" customFormat="1" customHeight="1" spans="1:24">
      <c r="A76" s="252">
        <v>20230608</v>
      </c>
      <c r="B76" s="286" t="s">
        <v>196</v>
      </c>
      <c r="C76" s="252" t="s">
        <v>25</v>
      </c>
      <c r="D76" s="286" t="s">
        <v>41</v>
      </c>
      <c r="E76" s="286" t="s">
        <v>42</v>
      </c>
      <c r="F76" s="286"/>
      <c r="G76" s="252" t="s">
        <v>88</v>
      </c>
      <c r="H76" s="286" t="s">
        <v>197</v>
      </c>
      <c r="I76" s="286" t="s">
        <v>44</v>
      </c>
      <c r="J76" s="268">
        <v>200</v>
      </c>
      <c r="K76" s="268">
        <v>2270</v>
      </c>
      <c r="L76" s="268">
        <v>2837</v>
      </c>
      <c r="M76" s="266">
        <f t="shared" si="14"/>
        <v>567</v>
      </c>
      <c r="N76" s="288">
        <f t="shared" si="11"/>
        <v>0.199859005992245</v>
      </c>
      <c r="O76" s="268">
        <v>50</v>
      </c>
      <c r="P76" s="268">
        <f t="shared" si="12"/>
        <v>10000</v>
      </c>
      <c r="Q76" s="292">
        <f t="shared" si="15"/>
        <v>0.0176242509693338</v>
      </c>
      <c r="R76" s="282" t="str">
        <f>IFERROR(SUMIF(#REF!,$A76,#REF!),"")</f>
        <v/>
      </c>
      <c r="S76" s="293" t="e">
        <f t="shared" si="16"/>
        <v>#VALUE!</v>
      </c>
      <c r="T76" s="275" t="str">
        <f>IFERROR(VLOOKUP(A76,[1]商务费用支付申请!A:B,2,0),"")</f>
        <v/>
      </c>
      <c r="U76" s="284" t="e">
        <f t="shared" si="13"/>
        <v>#VALUE!</v>
      </c>
      <c r="V76" s="246"/>
      <c r="X76" s="285"/>
    </row>
    <row r="77" s="246" customFormat="1" customHeight="1" spans="1:24">
      <c r="A77" s="193">
        <v>20230609</v>
      </c>
      <c r="B77" s="287" t="s">
        <v>198</v>
      </c>
      <c r="C77" s="193" t="s">
        <v>25</v>
      </c>
      <c r="D77" s="193" t="s">
        <v>51</v>
      </c>
      <c r="E77" s="193" t="s">
        <v>81</v>
      </c>
      <c r="F77" s="193"/>
      <c r="G77" s="193" t="s">
        <v>199</v>
      </c>
      <c r="H77" s="193" t="s">
        <v>188</v>
      </c>
      <c r="I77" s="193" t="s">
        <v>189</v>
      </c>
      <c r="J77" s="258">
        <v>30</v>
      </c>
      <c r="K77" s="258">
        <v>1195</v>
      </c>
      <c r="L77" s="258">
        <v>2050</v>
      </c>
      <c r="M77" s="258">
        <f t="shared" si="14"/>
        <v>855</v>
      </c>
      <c r="N77" s="259">
        <f t="shared" si="11"/>
        <v>0.417073170731707</v>
      </c>
      <c r="O77" s="258">
        <v>100</v>
      </c>
      <c r="P77" s="257">
        <f t="shared" si="12"/>
        <v>3000</v>
      </c>
      <c r="Q77" s="272">
        <f t="shared" si="15"/>
        <v>0.0487804878048781</v>
      </c>
      <c r="R77" s="273" t="str">
        <f>IFERROR(SUMIF(#REF!,$A77,#REF!),"")</f>
        <v/>
      </c>
      <c r="S77" s="274" t="e">
        <f t="shared" si="16"/>
        <v>#VALUE!</v>
      </c>
      <c r="T77" s="275">
        <v>4100164700</v>
      </c>
      <c r="U77" s="229" t="e">
        <f t="shared" si="13"/>
        <v>#VALUE!</v>
      </c>
      <c r="V77"/>
      <c r="W77" s="246" t="s">
        <v>200</v>
      </c>
      <c r="X77" s="279">
        <v>45200</v>
      </c>
    </row>
    <row r="78" s="246" customFormat="1" customHeight="1" spans="1:24">
      <c r="A78" s="193">
        <v>20230616</v>
      </c>
      <c r="B78" s="193" t="s">
        <v>201</v>
      </c>
      <c r="C78" s="193" t="s">
        <v>25</v>
      </c>
      <c r="D78" s="193" t="s">
        <v>51</v>
      </c>
      <c r="E78" s="193" t="s">
        <v>81</v>
      </c>
      <c r="F78" s="193"/>
      <c r="G78" s="193" t="s">
        <v>199</v>
      </c>
      <c r="H78" s="193" t="s">
        <v>74</v>
      </c>
      <c r="I78" s="193" t="s">
        <v>74</v>
      </c>
      <c r="J78" s="258">
        <v>120</v>
      </c>
      <c r="K78" s="258">
        <v>700</v>
      </c>
      <c r="L78" s="258">
        <v>1290</v>
      </c>
      <c r="M78" s="258">
        <f t="shared" si="14"/>
        <v>590</v>
      </c>
      <c r="N78" s="259">
        <f t="shared" si="11"/>
        <v>0.457364341085271</v>
      </c>
      <c r="O78" s="258">
        <v>100</v>
      </c>
      <c r="P78" s="257">
        <f t="shared" si="12"/>
        <v>12000</v>
      </c>
      <c r="Q78" s="272">
        <f t="shared" si="15"/>
        <v>0.0775193798449612</v>
      </c>
      <c r="R78" s="273" t="str">
        <f>IFERROR(SUMIF(#REF!,$A78,#REF!),"")</f>
        <v/>
      </c>
      <c r="S78" s="274" t="e">
        <f t="shared" si="16"/>
        <v>#VALUE!</v>
      </c>
      <c r="T78" s="275">
        <v>5911055383</v>
      </c>
      <c r="U78" s="229" t="e">
        <f t="shared" si="13"/>
        <v>#VALUE!</v>
      </c>
      <c r="W78" s="246" t="s">
        <v>107</v>
      </c>
      <c r="X78" s="279">
        <v>45200</v>
      </c>
    </row>
    <row r="79" s="246" customFormat="1" customHeight="1" spans="1:24">
      <c r="A79" s="193">
        <v>20230610</v>
      </c>
      <c r="B79" s="193" t="s">
        <v>201</v>
      </c>
      <c r="C79" s="193" t="s">
        <v>25</v>
      </c>
      <c r="D79" s="193" t="s">
        <v>51</v>
      </c>
      <c r="E79" s="193" t="s">
        <v>81</v>
      </c>
      <c r="F79" s="193"/>
      <c r="G79" s="193" t="s">
        <v>202</v>
      </c>
      <c r="H79" s="182" t="s">
        <v>188</v>
      </c>
      <c r="I79" s="182" t="s">
        <v>189</v>
      </c>
      <c r="J79" s="182">
        <v>30</v>
      </c>
      <c r="K79" s="182">
        <v>1195</v>
      </c>
      <c r="L79" s="182">
        <v>2050</v>
      </c>
      <c r="M79" s="182">
        <f t="shared" si="14"/>
        <v>855</v>
      </c>
      <c r="N79" s="289">
        <f t="shared" si="11"/>
        <v>0.417073170731707</v>
      </c>
      <c r="O79" s="182">
        <v>100</v>
      </c>
      <c r="P79" s="257">
        <f t="shared" si="12"/>
        <v>3000</v>
      </c>
      <c r="Q79" s="272">
        <f t="shared" si="15"/>
        <v>0.0487804878048781</v>
      </c>
      <c r="R79" s="273" t="str">
        <f>IFERROR(SUMIF(#REF!,$A79,#REF!),"")</f>
        <v/>
      </c>
      <c r="S79" s="274" t="e">
        <f t="shared" si="16"/>
        <v>#VALUE!</v>
      </c>
      <c r="T79" s="275"/>
      <c r="U79" s="229" t="e">
        <f t="shared" si="13"/>
        <v>#VALUE!</v>
      </c>
      <c r="X79" s="279"/>
    </row>
    <row r="80" s="246" customFormat="1" customHeight="1" spans="1:24">
      <c r="A80" s="193">
        <v>20230611</v>
      </c>
      <c r="B80" s="193" t="s">
        <v>201</v>
      </c>
      <c r="C80" s="193" t="s">
        <v>25</v>
      </c>
      <c r="D80" s="193" t="s">
        <v>72</v>
      </c>
      <c r="E80" s="193" t="s">
        <v>73</v>
      </c>
      <c r="F80" s="193"/>
      <c r="G80" s="193" t="s">
        <v>203</v>
      </c>
      <c r="H80" s="193" t="s">
        <v>151</v>
      </c>
      <c r="I80" s="250" t="s">
        <v>151</v>
      </c>
      <c r="J80" s="258">
        <v>5</v>
      </c>
      <c r="K80" s="258">
        <v>797</v>
      </c>
      <c r="L80" s="258">
        <v>2035</v>
      </c>
      <c r="M80" s="258">
        <f t="shared" si="14"/>
        <v>1238</v>
      </c>
      <c r="N80" s="259">
        <f t="shared" si="11"/>
        <v>0.608353808353808</v>
      </c>
      <c r="O80" s="258">
        <v>100</v>
      </c>
      <c r="P80" s="257">
        <f t="shared" si="12"/>
        <v>500</v>
      </c>
      <c r="Q80" s="272">
        <f t="shared" si="15"/>
        <v>0.0491400491400491</v>
      </c>
      <c r="R80" s="273" t="str">
        <f>IFERROR(SUMIF(#REF!,$A80,#REF!),"")</f>
        <v/>
      </c>
      <c r="S80" s="274" t="e">
        <f t="shared" si="16"/>
        <v>#VALUE!</v>
      </c>
      <c r="T80" s="275">
        <v>5910563564</v>
      </c>
      <c r="U80" s="229" t="e">
        <f t="shared" si="13"/>
        <v>#VALUE!</v>
      </c>
      <c r="X80" s="279"/>
    </row>
    <row r="81" customHeight="1" spans="1:24">
      <c r="A81" s="7">
        <v>20230612</v>
      </c>
      <c r="B81" s="7" t="s">
        <v>180</v>
      </c>
      <c r="C81" s="7" t="s">
        <v>98</v>
      </c>
      <c r="D81" s="7" t="s">
        <v>152</v>
      </c>
      <c r="E81" s="7" t="s">
        <v>153</v>
      </c>
      <c r="F81" s="7"/>
      <c r="G81" s="7"/>
      <c r="H81" s="7" t="s">
        <v>160</v>
      </c>
      <c r="I81" s="271" t="s">
        <v>164</v>
      </c>
      <c r="J81" s="255">
        <v>20</v>
      </c>
      <c r="K81" s="255">
        <v>3850</v>
      </c>
      <c r="L81" s="255">
        <v>5694</v>
      </c>
      <c r="M81" s="255">
        <f t="shared" si="14"/>
        <v>1844</v>
      </c>
      <c r="N81" s="261">
        <f t="shared" si="11"/>
        <v>0.32384966631542</v>
      </c>
      <c r="O81" s="255">
        <v>100</v>
      </c>
      <c r="P81" s="262">
        <f>J81*O81</f>
        <v>2000</v>
      </c>
      <c r="Q81" s="276">
        <f t="shared" si="15"/>
        <v>0.0175623463294696</v>
      </c>
      <c r="R81" s="269" t="str">
        <f>IFERROR(SUMIF(#REF!,$A81,#REF!),"")</f>
        <v/>
      </c>
      <c r="S81" s="274" t="e">
        <f t="shared" si="16"/>
        <v>#VALUE!</v>
      </c>
      <c r="T81" s="278">
        <v>5910660985</v>
      </c>
      <c r="U81" s="174" t="e">
        <f t="shared" si="13"/>
        <v>#VALUE!</v>
      </c>
      <c r="W81" t="s">
        <v>172</v>
      </c>
      <c r="X81" s="279">
        <v>45100</v>
      </c>
    </row>
    <row r="82" s="246" customFormat="1" customHeight="1" spans="1:24">
      <c r="A82" s="193">
        <v>20230613</v>
      </c>
      <c r="B82" s="193" t="s">
        <v>204</v>
      </c>
      <c r="C82" s="193" t="s">
        <v>98</v>
      </c>
      <c r="D82" s="193" t="s">
        <v>205</v>
      </c>
      <c r="E82" s="193" t="s">
        <v>206</v>
      </c>
      <c r="F82" s="193"/>
      <c r="G82" s="193"/>
      <c r="H82" s="193"/>
      <c r="I82" s="250" t="s">
        <v>207</v>
      </c>
      <c r="J82" s="258">
        <v>2</v>
      </c>
      <c r="K82" s="258">
        <v>2667.88</v>
      </c>
      <c r="L82" s="290">
        <v>3805.31</v>
      </c>
      <c r="M82" s="258">
        <f t="shared" si="14"/>
        <v>1137.43</v>
      </c>
      <c r="N82" s="259">
        <f t="shared" si="11"/>
        <v>0.298906002401907</v>
      </c>
      <c r="O82" s="258">
        <v>655</v>
      </c>
      <c r="P82" s="257">
        <f>J82*O82</f>
        <v>1310</v>
      </c>
      <c r="Q82" s="272">
        <f t="shared" si="15"/>
        <v>0.172127894967821</v>
      </c>
      <c r="R82" s="273" t="str">
        <f>IFERROR(SUMIF(#REF!,$A82,#REF!),"")</f>
        <v/>
      </c>
      <c r="S82" s="274" t="e">
        <f t="shared" si="16"/>
        <v>#VALUE!</v>
      </c>
      <c r="T82" s="258" t="s">
        <v>208</v>
      </c>
      <c r="U82" s="229" t="e">
        <f t="shared" si="13"/>
        <v>#VALUE!</v>
      </c>
      <c r="V82"/>
      <c r="X82" s="279"/>
    </row>
    <row r="83" s="246" customFormat="1" customHeight="1" spans="1:24">
      <c r="A83" s="193">
        <v>20230614</v>
      </c>
      <c r="B83" s="193" t="s">
        <v>204</v>
      </c>
      <c r="C83" s="193" t="s">
        <v>98</v>
      </c>
      <c r="D83" s="193" t="s">
        <v>205</v>
      </c>
      <c r="E83" s="193" t="s">
        <v>206</v>
      </c>
      <c r="F83" s="193"/>
      <c r="G83" s="193"/>
      <c r="H83" s="193"/>
      <c r="I83" s="250" t="s">
        <v>207</v>
      </c>
      <c r="J83" s="258">
        <v>4</v>
      </c>
      <c r="K83" s="258">
        <v>1087.15</v>
      </c>
      <c r="L83" s="290">
        <v>4424.78</v>
      </c>
      <c r="M83" s="258">
        <f t="shared" si="14"/>
        <v>3337.63</v>
      </c>
      <c r="N83" s="259">
        <f t="shared" si="11"/>
        <v>0.754304168794833</v>
      </c>
      <c r="O83" s="258">
        <v>557.5</v>
      </c>
      <c r="P83" s="257">
        <f>J83*O83</f>
        <v>2230</v>
      </c>
      <c r="Q83" s="272">
        <f t="shared" si="15"/>
        <v>0.12599496472141</v>
      </c>
      <c r="R83" s="273" t="str">
        <f>IFERROR(SUMIF(#REF!,$A83,#REF!),"")</f>
        <v/>
      </c>
      <c r="S83" s="274" t="e">
        <f t="shared" si="16"/>
        <v>#VALUE!</v>
      </c>
      <c r="T83" s="258" t="s">
        <v>209</v>
      </c>
      <c r="U83" s="229" t="e">
        <f t="shared" si="13"/>
        <v>#VALUE!</v>
      </c>
      <c r="V83"/>
      <c r="X83" s="279"/>
    </row>
    <row r="84" s="247" customFormat="1" ht="42" spans="1:24">
      <c r="A84" s="252">
        <v>20230615</v>
      </c>
      <c r="B84" s="252" t="s">
        <v>210</v>
      </c>
      <c r="C84" s="252" t="s">
        <v>109</v>
      </c>
      <c r="D84" s="252" t="s">
        <v>124</v>
      </c>
      <c r="E84" s="252" t="s">
        <v>125</v>
      </c>
      <c r="F84" s="252" t="s">
        <v>126</v>
      </c>
      <c r="G84" s="252"/>
      <c r="H84" s="286" t="s">
        <v>211</v>
      </c>
      <c r="I84" s="252" t="s">
        <v>139</v>
      </c>
      <c r="J84" s="266">
        <v>60</v>
      </c>
      <c r="K84" s="266">
        <v>558</v>
      </c>
      <c r="L84" s="266">
        <v>884</v>
      </c>
      <c r="M84" s="266">
        <f t="shared" si="14"/>
        <v>326</v>
      </c>
      <c r="N84" s="267">
        <f t="shared" si="11"/>
        <v>0.368778280542986</v>
      </c>
      <c r="O84" s="266">
        <v>100</v>
      </c>
      <c r="P84" s="268">
        <f t="shared" ref="P84:P90" si="17">O84*J84</f>
        <v>6000</v>
      </c>
      <c r="Q84" s="281">
        <f t="shared" si="15"/>
        <v>0.113122171945701</v>
      </c>
      <c r="R84" s="282" t="str">
        <f>IFERROR(SUMIF(#REF!,$A84,#REF!),"")</f>
        <v/>
      </c>
      <c r="S84" s="283" t="e">
        <f t="shared" si="16"/>
        <v>#VALUE!</v>
      </c>
      <c r="T84" s="258"/>
      <c r="U84" s="284" t="e">
        <f t="shared" si="13"/>
        <v>#VALUE!</v>
      </c>
      <c r="V84"/>
      <c r="X84" s="285"/>
    </row>
    <row r="85" s="246" customFormat="1" customHeight="1" spans="1:24">
      <c r="A85" s="193">
        <v>20230617</v>
      </c>
      <c r="B85" s="193" t="s">
        <v>212</v>
      </c>
      <c r="C85" s="193" t="s">
        <v>25</v>
      </c>
      <c r="D85" s="193" t="s">
        <v>76</v>
      </c>
      <c r="E85" s="193" t="s">
        <v>59</v>
      </c>
      <c r="F85" s="193"/>
      <c r="G85" s="193" t="s">
        <v>213</v>
      </c>
      <c r="H85" s="194" t="s">
        <v>214</v>
      </c>
      <c r="I85" s="193" t="s">
        <v>215</v>
      </c>
      <c r="J85" s="258">
        <v>20</v>
      </c>
      <c r="K85" s="258">
        <v>1600</v>
      </c>
      <c r="L85" s="258">
        <v>3200</v>
      </c>
      <c r="M85" s="258">
        <f t="shared" si="14"/>
        <v>1600</v>
      </c>
      <c r="N85" s="259">
        <f t="shared" si="11"/>
        <v>0.5</v>
      </c>
      <c r="O85" s="258">
        <v>100</v>
      </c>
      <c r="P85" s="257">
        <f t="shared" si="17"/>
        <v>2000</v>
      </c>
      <c r="Q85" s="272">
        <f t="shared" si="15"/>
        <v>0.03125</v>
      </c>
      <c r="R85" s="273" t="str">
        <f>IFERROR(SUMIF(#REF!,$A85,#REF!),"")</f>
        <v/>
      </c>
      <c r="S85" s="274" t="e">
        <f t="shared" si="16"/>
        <v>#VALUE!</v>
      </c>
      <c r="T85" s="258" t="str">
        <f>IFERROR(VLOOKUP(A85,[2]商务费用支付申请!A:B,2,0),"")</f>
        <v/>
      </c>
      <c r="U85" s="229" t="e">
        <f t="shared" ref="U85:U91" si="18">R85-O85*J85</f>
        <v>#VALUE!</v>
      </c>
      <c r="X85" s="279"/>
    </row>
    <row r="86" s="246" customFormat="1" customHeight="1" spans="1:24">
      <c r="A86" s="193">
        <v>20230618</v>
      </c>
      <c r="B86" s="193" t="s">
        <v>212</v>
      </c>
      <c r="C86" s="193" t="s">
        <v>25</v>
      </c>
      <c r="D86" s="193" t="s">
        <v>76</v>
      </c>
      <c r="E86" s="193" t="s">
        <v>59</v>
      </c>
      <c r="F86" s="193"/>
      <c r="G86" s="193" t="s">
        <v>216</v>
      </c>
      <c r="H86" s="194" t="s">
        <v>217</v>
      </c>
      <c r="I86" s="193" t="s">
        <v>218</v>
      </c>
      <c r="J86" s="258">
        <v>5</v>
      </c>
      <c r="K86" s="258">
        <v>3465</v>
      </c>
      <c r="L86" s="258">
        <v>4500</v>
      </c>
      <c r="M86" s="258">
        <f t="shared" si="14"/>
        <v>1035</v>
      </c>
      <c r="N86" s="259">
        <f t="shared" si="11"/>
        <v>0.23</v>
      </c>
      <c r="O86" s="258">
        <v>100</v>
      </c>
      <c r="P86" s="257">
        <f t="shared" si="17"/>
        <v>500</v>
      </c>
      <c r="Q86" s="272">
        <f t="shared" si="15"/>
        <v>0.0222222222222222</v>
      </c>
      <c r="R86" s="273" t="str">
        <f>IFERROR(SUMIF(#REF!,$A86,#REF!),"")</f>
        <v/>
      </c>
      <c r="S86" s="274" t="e">
        <f t="shared" si="16"/>
        <v>#VALUE!</v>
      </c>
      <c r="T86" s="258" t="str">
        <f>IFERROR(VLOOKUP(A86,[2]商务费用支付申请!A:B,2,0),"")</f>
        <v/>
      </c>
      <c r="U86" s="229" t="e">
        <f t="shared" si="18"/>
        <v>#VALUE!</v>
      </c>
      <c r="X86" s="279"/>
    </row>
    <row r="87" s="246" customFormat="1" customHeight="1" spans="1:24">
      <c r="A87" s="193">
        <v>20230701</v>
      </c>
      <c r="B87" s="193" t="s">
        <v>198</v>
      </c>
      <c r="C87" s="193" t="s">
        <v>25</v>
      </c>
      <c r="D87" s="193" t="s">
        <v>58</v>
      </c>
      <c r="E87" s="193" t="s">
        <v>69</v>
      </c>
      <c r="F87" s="193"/>
      <c r="G87" s="251">
        <v>45117</v>
      </c>
      <c r="H87" s="194" t="s">
        <v>78</v>
      </c>
      <c r="I87" s="193" t="s">
        <v>44</v>
      </c>
      <c r="J87" s="258">
        <v>13</v>
      </c>
      <c r="K87" s="258">
        <v>199</v>
      </c>
      <c r="L87" s="258">
        <v>565</v>
      </c>
      <c r="M87" s="258">
        <f t="shared" si="14"/>
        <v>366</v>
      </c>
      <c r="N87" s="259">
        <f t="shared" si="11"/>
        <v>0.647787610619469</v>
      </c>
      <c r="O87" s="258">
        <v>100</v>
      </c>
      <c r="P87" s="257">
        <f t="shared" si="17"/>
        <v>1300</v>
      </c>
      <c r="Q87" s="272">
        <f t="shared" si="15"/>
        <v>0.176991150442478</v>
      </c>
      <c r="R87" s="273" t="str">
        <f>IFERROR(SUMIF(#REF!,$A87,#REF!),"")</f>
        <v/>
      </c>
      <c r="S87" s="274" t="e">
        <f t="shared" si="16"/>
        <v>#VALUE!</v>
      </c>
      <c r="T87" s="275">
        <v>5014784823</v>
      </c>
      <c r="U87" s="229" t="e">
        <f t="shared" si="18"/>
        <v>#VALUE!</v>
      </c>
      <c r="X87" s="279"/>
    </row>
    <row r="88" s="246" customFormat="1" ht="14" spans="1:24">
      <c r="A88" s="193">
        <v>20230702</v>
      </c>
      <c r="B88" s="193" t="s">
        <v>219</v>
      </c>
      <c r="C88" s="193" t="s">
        <v>25</v>
      </c>
      <c r="D88" s="193" t="s">
        <v>220</v>
      </c>
      <c r="E88" s="193" t="s">
        <v>150</v>
      </c>
      <c r="F88" s="193"/>
      <c r="G88" s="193" t="s">
        <v>202</v>
      </c>
      <c r="H88" s="193" t="s">
        <v>74</v>
      </c>
      <c r="I88" s="193" t="s">
        <v>74</v>
      </c>
      <c r="J88" s="258">
        <v>69</v>
      </c>
      <c r="K88" s="258">
        <v>700</v>
      </c>
      <c r="L88" s="258">
        <v>1290</v>
      </c>
      <c r="M88" s="258">
        <f t="shared" si="14"/>
        <v>590</v>
      </c>
      <c r="N88" s="259">
        <f t="shared" si="11"/>
        <v>0.457364341085271</v>
      </c>
      <c r="O88" s="258">
        <v>100</v>
      </c>
      <c r="P88" s="257">
        <f t="shared" si="17"/>
        <v>6900</v>
      </c>
      <c r="Q88" s="272">
        <f t="shared" si="15"/>
        <v>0.0775193798449612</v>
      </c>
      <c r="R88" s="273" t="str">
        <f>IFERROR(SUMIF(#REF!,$A88,#REF!),"")</f>
        <v/>
      </c>
      <c r="S88" s="274" t="e">
        <f t="shared" si="16"/>
        <v>#VALUE!</v>
      </c>
      <c r="T88" s="258">
        <v>5910913253</v>
      </c>
      <c r="U88" s="229" t="e">
        <f t="shared" si="18"/>
        <v>#VALUE!</v>
      </c>
      <c r="W88" s="246" t="s">
        <v>184</v>
      </c>
      <c r="X88" s="279">
        <v>45161</v>
      </c>
    </row>
    <row r="89" s="246" customFormat="1" ht="14" spans="1:24">
      <c r="A89" s="193">
        <v>20230703</v>
      </c>
      <c r="B89" s="193" t="s">
        <v>219</v>
      </c>
      <c r="C89" s="193" t="s">
        <v>25</v>
      </c>
      <c r="D89" s="193" t="s">
        <v>220</v>
      </c>
      <c r="E89" s="193" t="s">
        <v>150</v>
      </c>
      <c r="F89" s="193"/>
      <c r="G89" s="193" t="s">
        <v>202</v>
      </c>
      <c r="H89" s="193" t="s">
        <v>214</v>
      </c>
      <c r="I89" s="193" t="s">
        <v>215</v>
      </c>
      <c r="J89" s="258">
        <v>20</v>
      </c>
      <c r="K89" s="258">
        <v>1600</v>
      </c>
      <c r="L89" s="258">
        <v>3200</v>
      </c>
      <c r="M89" s="258">
        <f t="shared" si="14"/>
        <v>1600</v>
      </c>
      <c r="N89" s="259">
        <f t="shared" si="11"/>
        <v>0.5</v>
      </c>
      <c r="O89" s="258">
        <v>100</v>
      </c>
      <c r="P89" s="257">
        <f t="shared" si="17"/>
        <v>2000</v>
      </c>
      <c r="Q89" s="272">
        <f t="shared" si="15"/>
        <v>0.03125</v>
      </c>
      <c r="R89" s="273" t="str">
        <f>IFERROR(SUMIF(#REF!,$A89,#REF!),"")</f>
        <v/>
      </c>
      <c r="S89" s="274" t="e">
        <f t="shared" si="16"/>
        <v>#VALUE!</v>
      </c>
      <c r="T89" s="258" t="str">
        <f>IFERROR(VLOOKUP(A89,[2]商务费用支付申请!A:B,2,0),"")</f>
        <v/>
      </c>
      <c r="U89" s="229" t="e">
        <f t="shared" si="18"/>
        <v>#VALUE!</v>
      </c>
      <c r="X89" s="279"/>
    </row>
    <row r="90" s="247" customFormat="1" ht="14" spans="1:16384">
      <c r="A90" s="252">
        <v>20230801</v>
      </c>
      <c r="B90" s="252" t="s">
        <v>221</v>
      </c>
      <c r="C90" s="252" t="s">
        <v>25</v>
      </c>
      <c r="D90" s="252" t="s">
        <v>92</v>
      </c>
      <c r="E90" s="252" t="s">
        <v>93</v>
      </c>
      <c r="F90" s="252"/>
      <c r="G90" s="252" t="s">
        <v>222</v>
      </c>
      <c r="H90" s="252" t="s">
        <v>223</v>
      </c>
      <c r="I90" s="252" t="s">
        <v>224</v>
      </c>
      <c r="J90" s="266">
        <v>60</v>
      </c>
      <c r="K90" s="266"/>
      <c r="L90" s="266">
        <v>1500</v>
      </c>
      <c r="M90" s="266">
        <f t="shared" si="14"/>
        <v>1500</v>
      </c>
      <c r="N90" s="267">
        <f t="shared" si="11"/>
        <v>1</v>
      </c>
      <c r="O90" s="266">
        <v>300</v>
      </c>
      <c r="P90" s="268">
        <f t="shared" si="17"/>
        <v>18000</v>
      </c>
      <c r="Q90" s="281">
        <f t="shared" si="15"/>
        <v>0.2</v>
      </c>
      <c r="R90" s="282" t="str">
        <f>IFERROR(SUMIF(#REF!,$A90,#REF!),"")</f>
        <v/>
      </c>
      <c r="S90" s="283" t="e">
        <f t="shared" si="16"/>
        <v>#VALUE!</v>
      </c>
      <c r="T90" s="258">
        <v>5911433033</v>
      </c>
      <c r="U90" s="284" t="e">
        <f t="shared" si="18"/>
        <v>#VALUE!</v>
      </c>
      <c r="V90" s="246"/>
      <c r="W90" s="285"/>
      <c r="XFD90" s="252"/>
    </row>
    <row r="91" s="246" customFormat="1" ht="14" spans="1:16384">
      <c r="A91" s="193">
        <v>20230901</v>
      </c>
      <c r="B91" s="193" t="s">
        <v>225</v>
      </c>
      <c r="C91" s="193" t="s">
        <v>25</v>
      </c>
      <c r="D91" s="193" t="s">
        <v>226</v>
      </c>
      <c r="E91" s="193" t="s">
        <v>227</v>
      </c>
      <c r="F91" s="193"/>
      <c r="G91" s="193" t="s">
        <v>228</v>
      </c>
      <c r="H91" s="193" t="s">
        <v>229</v>
      </c>
      <c r="I91" s="193" t="s">
        <v>230</v>
      </c>
      <c r="J91" s="258">
        <v>31</v>
      </c>
      <c r="K91" s="258">
        <v>1934</v>
      </c>
      <c r="L91" s="258">
        <v>2750</v>
      </c>
      <c r="M91" s="258">
        <v>816</v>
      </c>
      <c r="N91" s="259">
        <f t="shared" si="11"/>
        <v>0.296727272727273</v>
      </c>
      <c r="O91" s="258">
        <v>100</v>
      </c>
      <c r="P91" s="257">
        <f t="shared" ref="P91:P109" si="19">O91*J91</f>
        <v>3100</v>
      </c>
      <c r="Q91" s="272">
        <f t="shared" ref="Q91:Q109" si="20">IF(AND($O91&lt;&gt;0,$L91&lt;&gt;0),$O91/$L91,"")</f>
        <v>0.0363636363636364</v>
      </c>
      <c r="R91" s="273" t="str">
        <f>IFERROR(SUMIF(#REF!,$A91,#REF!),"")</f>
        <v/>
      </c>
      <c r="S91" s="274" t="e">
        <f t="shared" ref="S91:S109" si="21">IF(AND(($M91*$J91-$R91)&lt;&gt;0,($L91*$J91)&lt;&gt;0),($M91*$J91-$R91)/($L91*$J91),"")</f>
        <v>#VALUE!</v>
      </c>
      <c r="T91" s="258"/>
      <c r="U91" s="229" t="e">
        <f t="shared" si="18"/>
        <v>#VALUE!</v>
      </c>
      <c r="W91" s="279"/>
      <c r="XFD91" s="193"/>
    </row>
    <row r="92" s="246" customFormat="1" ht="14" spans="1:16384">
      <c r="A92" s="193">
        <v>20230902</v>
      </c>
      <c r="B92" s="193" t="s">
        <v>231</v>
      </c>
      <c r="C92" s="193" t="s">
        <v>25</v>
      </c>
      <c r="D92" s="193" t="s">
        <v>92</v>
      </c>
      <c r="E92" s="193" t="s">
        <v>93</v>
      </c>
      <c r="F92" s="193"/>
      <c r="G92" s="193" t="s">
        <v>228</v>
      </c>
      <c r="H92" s="193" t="s">
        <v>232</v>
      </c>
      <c r="I92" s="193" t="s">
        <v>70</v>
      </c>
      <c r="J92" s="258" t="s">
        <v>233</v>
      </c>
      <c r="K92" s="258"/>
      <c r="L92" s="258"/>
      <c r="M92" s="258"/>
      <c r="N92" s="259"/>
      <c r="O92" s="258"/>
      <c r="P92" s="257" t="e">
        <f t="shared" si="19"/>
        <v>#VALUE!</v>
      </c>
      <c r="Q92" s="272" t="str">
        <f t="shared" si="20"/>
        <v/>
      </c>
      <c r="R92" s="273" t="str">
        <f>IFERROR(SUMIF(#REF!,$A92,#REF!),"")</f>
        <v/>
      </c>
      <c r="S92" s="274" t="e">
        <f t="shared" si="21"/>
        <v>#VALUE!</v>
      </c>
      <c r="T92" s="258"/>
      <c r="U92" s="229"/>
      <c r="W92" s="279"/>
      <c r="XFD92" s="193"/>
    </row>
    <row r="93" s="246" customFormat="1" ht="14" spans="1:16384">
      <c r="A93" s="193">
        <v>20230903</v>
      </c>
      <c r="B93" s="193" t="s">
        <v>225</v>
      </c>
      <c r="C93" s="193" t="s">
        <v>25</v>
      </c>
      <c r="D93" s="193" t="s">
        <v>51</v>
      </c>
      <c r="E93" s="193" t="s">
        <v>81</v>
      </c>
      <c r="F93" s="193"/>
      <c r="G93" s="193" t="s">
        <v>228</v>
      </c>
      <c r="H93" s="193" t="s">
        <v>70</v>
      </c>
      <c r="I93" s="193"/>
      <c r="J93" s="258">
        <v>50</v>
      </c>
      <c r="K93" s="258">
        <v>557.52</v>
      </c>
      <c r="L93" s="258">
        <v>2059</v>
      </c>
      <c r="M93" s="258"/>
      <c r="N93" s="259" t="str">
        <f t="shared" ref="N93:N104" si="22">IF(AND($M93&lt;&gt;0,$L93&lt;&gt;0),$M93/$L93,"")</f>
        <v/>
      </c>
      <c r="O93" s="258">
        <v>100</v>
      </c>
      <c r="P93" s="257">
        <f t="shared" si="19"/>
        <v>5000</v>
      </c>
      <c r="Q93" s="272">
        <f t="shared" si="20"/>
        <v>0.0485672656629432</v>
      </c>
      <c r="R93" s="273" t="str">
        <f>IFERROR(SUMIF(#REF!,$A93,#REF!),"")</f>
        <v/>
      </c>
      <c r="S93" s="274" t="e">
        <f t="shared" si="21"/>
        <v>#VALUE!</v>
      </c>
      <c r="T93" s="258"/>
      <c r="U93" s="229">
        <f>P93-J93*O93</f>
        <v>0</v>
      </c>
      <c r="W93" s="279"/>
      <c r="XFD93" s="193"/>
    </row>
    <row r="94" s="246" customFormat="1" ht="14" spans="1:16384">
      <c r="A94" s="193">
        <v>20230904</v>
      </c>
      <c r="B94" s="193" t="s">
        <v>231</v>
      </c>
      <c r="C94" s="193" t="s">
        <v>25</v>
      </c>
      <c r="D94" s="193" t="s">
        <v>72</v>
      </c>
      <c r="E94" s="193" t="s">
        <v>73</v>
      </c>
      <c r="F94" s="193"/>
      <c r="G94" s="193" t="s">
        <v>228</v>
      </c>
      <c r="H94" s="193" t="s">
        <v>188</v>
      </c>
      <c r="I94" s="193" t="s">
        <v>189</v>
      </c>
      <c r="J94" s="258">
        <v>20</v>
      </c>
      <c r="K94" s="258">
        <v>1195</v>
      </c>
      <c r="L94" s="258">
        <v>2050</v>
      </c>
      <c r="M94" s="258">
        <f>L94-K94</f>
        <v>855</v>
      </c>
      <c r="N94" s="259"/>
      <c r="O94" s="258">
        <v>100</v>
      </c>
      <c r="P94" s="257">
        <f t="shared" si="19"/>
        <v>2000</v>
      </c>
      <c r="Q94" s="272">
        <f t="shared" si="20"/>
        <v>0.0487804878048781</v>
      </c>
      <c r="R94" s="273" t="str">
        <f>IFERROR(SUMIF(#REF!,$A94,#REF!),"")</f>
        <v/>
      </c>
      <c r="S94" s="274" t="e">
        <f t="shared" si="21"/>
        <v>#VALUE!</v>
      </c>
      <c r="T94" s="258"/>
      <c r="U94" s="229" t="e">
        <f t="shared" ref="U94:U102" si="23">R94-O94*J94</f>
        <v>#VALUE!</v>
      </c>
      <c r="W94" s="279"/>
      <c r="XFD94" s="193"/>
    </row>
    <row r="95" s="246" customFormat="1" ht="14" spans="1:16384">
      <c r="A95" s="193">
        <v>20230905</v>
      </c>
      <c r="B95" s="193" t="s">
        <v>225</v>
      </c>
      <c r="C95" s="193" t="s">
        <v>25</v>
      </c>
      <c r="D95" s="193" t="s">
        <v>234</v>
      </c>
      <c r="E95" s="193" t="s">
        <v>235</v>
      </c>
      <c r="F95" s="193"/>
      <c r="G95" s="193" t="s">
        <v>228</v>
      </c>
      <c r="H95" s="193" t="s">
        <v>236</v>
      </c>
      <c r="I95" s="193" t="s">
        <v>237</v>
      </c>
      <c r="J95" s="258">
        <v>80</v>
      </c>
      <c r="K95" s="258">
        <v>2778</v>
      </c>
      <c r="L95" s="258">
        <v>3407</v>
      </c>
      <c r="M95" s="258">
        <f>L95-K95</f>
        <v>629</v>
      </c>
      <c r="N95" s="259">
        <f t="shared" si="22"/>
        <v>0.184619900205459</v>
      </c>
      <c r="O95" s="258">
        <v>100</v>
      </c>
      <c r="P95" s="257">
        <f t="shared" si="19"/>
        <v>8000</v>
      </c>
      <c r="Q95" s="272">
        <f t="shared" si="20"/>
        <v>0.0293513354857646</v>
      </c>
      <c r="R95" s="273" t="str">
        <f>IFERROR(SUMIF(#REF!,$A95,#REF!),"")</f>
        <v/>
      </c>
      <c r="S95" s="274" t="e">
        <f t="shared" si="21"/>
        <v>#VALUE!</v>
      </c>
      <c r="T95" s="258"/>
      <c r="U95" s="229" t="e">
        <f t="shared" si="23"/>
        <v>#VALUE!</v>
      </c>
      <c r="W95" s="279"/>
      <c r="XFD95" s="193"/>
    </row>
    <row r="96" s="246" customFormat="1" ht="14" spans="1:16384">
      <c r="A96" s="193">
        <v>20230906</v>
      </c>
      <c r="B96" s="193" t="s">
        <v>225</v>
      </c>
      <c r="C96" s="193" t="s">
        <v>25</v>
      </c>
      <c r="D96" s="193" t="s">
        <v>234</v>
      </c>
      <c r="E96" s="193" t="s">
        <v>235</v>
      </c>
      <c r="F96" s="193"/>
      <c r="G96" s="193" t="s">
        <v>228</v>
      </c>
      <c r="H96" s="193" t="s">
        <v>238</v>
      </c>
      <c r="I96" s="193"/>
      <c r="J96" s="258">
        <v>50</v>
      </c>
      <c r="K96" s="258"/>
      <c r="L96" s="258"/>
      <c r="M96" s="258"/>
      <c r="N96" s="259" t="str">
        <f t="shared" si="22"/>
        <v/>
      </c>
      <c r="O96" s="258">
        <v>100</v>
      </c>
      <c r="P96" s="257">
        <f t="shared" si="19"/>
        <v>5000</v>
      </c>
      <c r="Q96" s="272" t="str">
        <f t="shared" si="20"/>
        <v/>
      </c>
      <c r="R96" s="273" t="str">
        <f>IFERROR(SUMIF(#REF!,$A96,#REF!),"")</f>
        <v/>
      </c>
      <c r="S96" s="274" t="e">
        <f t="shared" si="21"/>
        <v>#VALUE!</v>
      </c>
      <c r="T96" s="258"/>
      <c r="U96" s="229" t="e">
        <f t="shared" si="23"/>
        <v>#VALUE!</v>
      </c>
      <c r="W96" s="279"/>
      <c r="XFD96" s="193"/>
    </row>
    <row r="97" s="246" customFormat="1" ht="14" spans="1:16384">
      <c r="A97" s="193">
        <v>20230907</v>
      </c>
      <c r="B97" s="193" t="s">
        <v>239</v>
      </c>
      <c r="C97" s="193" t="s">
        <v>25</v>
      </c>
      <c r="D97" s="193" t="s">
        <v>240</v>
      </c>
      <c r="E97" s="193" t="s">
        <v>241</v>
      </c>
      <c r="F97" s="193"/>
      <c r="G97" s="193" t="s">
        <v>242</v>
      </c>
      <c r="H97" s="193" t="s">
        <v>243</v>
      </c>
      <c r="I97" s="193" t="s">
        <v>244</v>
      </c>
      <c r="J97" s="258">
        <v>40</v>
      </c>
      <c r="K97" s="258">
        <v>1195</v>
      </c>
      <c r="L97" s="258">
        <v>2309</v>
      </c>
      <c r="M97" s="258">
        <v>1114</v>
      </c>
      <c r="N97" s="259">
        <f t="shared" si="22"/>
        <v>0.482459939367692</v>
      </c>
      <c r="O97" s="258">
        <v>350</v>
      </c>
      <c r="P97" s="257">
        <f t="shared" si="19"/>
        <v>14000</v>
      </c>
      <c r="Q97" s="272">
        <f t="shared" si="20"/>
        <v>0.151580770896492</v>
      </c>
      <c r="R97" s="273" t="str">
        <f>IFERROR(SUMIF(#REF!,$A97,#REF!),"")</f>
        <v/>
      </c>
      <c r="S97" s="274" t="e">
        <f t="shared" si="21"/>
        <v>#VALUE!</v>
      </c>
      <c r="T97" s="258" t="s">
        <v>245</v>
      </c>
      <c r="U97" s="229" t="e">
        <f t="shared" si="23"/>
        <v>#VALUE!</v>
      </c>
      <c r="W97" s="279"/>
      <c r="X97" s="279">
        <v>45231</v>
      </c>
      <c r="XFD97" s="193"/>
    </row>
    <row r="98" s="246" customFormat="1" ht="14" spans="1:16384">
      <c r="A98" s="193">
        <v>20230908</v>
      </c>
      <c r="B98" s="193" t="s">
        <v>246</v>
      </c>
      <c r="C98" s="193" t="s">
        <v>25</v>
      </c>
      <c r="D98" s="193" t="s">
        <v>76</v>
      </c>
      <c r="E98" s="193" t="s">
        <v>59</v>
      </c>
      <c r="F98" s="193"/>
      <c r="G98" s="193" t="s">
        <v>247</v>
      </c>
      <c r="H98" s="193" t="s">
        <v>248</v>
      </c>
      <c r="I98" s="193" t="s">
        <v>249</v>
      </c>
      <c r="J98" s="258">
        <v>10</v>
      </c>
      <c r="K98" s="258"/>
      <c r="L98" s="258"/>
      <c r="M98" s="258"/>
      <c r="N98" s="259" t="str">
        <f t="shared" si="22"/>
        <v/>
      </c>
      <c r="O98" s="258">
        <v>100</v>
      </c>
      <c r="P98" s="257">
        <f t="shared" si="19"/>
        <v>1000</v>
      </c>
      <c r="Q98" s="272" t="str">
        <f t="shared" si="20"/>
        <v/>
      </c>
      <c r="R98" s="273" t="str">
        <f>IFERROR(SUMIF(#REF!,$A98,#REF!),"")</f>
        <v/>
      </c>
      <c r="S98" s="274" t="e">
        <f t="shared" si="21"/>
        <v>#VALUE!</v>
      </c>
      <c r="T98" s="258"/>
      <c r="U98" s="229" t="e">
        <f t="shared" si="23"/>
        <v>#VALUE!</v>
      </c>
      <c r="W98" s="279"/>
      <c r="XFD98" s="193"/>
    </row>
    <row r="99" s="246" customFormat="1" ht="14" spans="1:16384">
      <c r="A99" s="193">
        <v>20230909</v>
      </c>
      <c r="B99" s="193" t="s">
        <v>246</v>
      </c>
      <c r="C99" s="193" t="s">
        <v>25</v>
      </c>
      <c r="D99" s="193" t="s">
        <v>76</v>
      </c>
      <c r="E99" s="193" t="s">
        <v>59</v>
      </c>
      <c r="F99" s="193"/>
      <c r="G99" s="193" t="s">
        <v>247</v>
      </c>
      <c r="H99" s="193" t="s">
        <v>250</v>
      </c>
      <c r="I99" s="193" t="s">
        <v>238</v>
      </c>
      <c r="J99" s="258">
        <v>5</v>
      </c>
      <c r="K99" s="258"/>
      <c r="L99" s="258"/>
      <c r="M99" s="258"/>
      <c r="N99" s="259" t="str">
        <f t="shared" si="22"/>
        <v/>
      </c>
      <c r="O99" s="258">
        <v>100</v>
      </c>
      <c r="P99" s="257">
        <f t="shared" si="19"/>
        <v>500</v>
      </c>
      <c r="Q99" s="272" t="str">
        <f t="shared" si="20"/>
        <v/>
      </c>
      <c r="R99" s="273" t="str">
        <f>IFERROR(SUMIF(#REF!,$A99,#REF!),"")</f>
        <v/>
      </c>
      <c r="S99" s="274" t="e">
        <f t="shared" si="21"/>
        <v>#VALUE!</v>
      </c>
      <c r="T99" s="258"/>
      <c r="U99" s="229" t="e">
        <f t="shared" si="23"/>
        <v>#VALUE!</v>
      </c>
      <c r="W99" s="279"/>
      <c r="XFD99" s="193"/>
    </row>
    <row r="100" s="246" customFormat="1" ht="14" spans="1:16384">
      <c r="A100" s="193">
        <v>20230910</v>
      </c>
      <c r="B100" s="193" t="s">
        <v>246</v>
      </c>
      <c r="C100" s="193" t="s">
        <v>25</v>
      </c>
      <c r="D100" s="193" t="s">
        <v>76</v>
      </c>
      <c r="E100" s="193" t="s">
        <v>59</v>
      </c>
      <c r="F100" s="193"/>
      <c r="G100" s="193" t="s">
        <v>247</v>
      </c>
      <c r="H100" s="193" t="s">
        <v>251</v>
      </c>
      <c r="I100" s="193" t="s">
        <v>252</v>
      </c>
      <c r="J100" s="258">
        <v>10</v>
      </c>
      <c r="K100" s="258"/>
      <c r="L100" s="258"/>
      <c r="M100" s="258"/>
      <c r="N100" s="259" t="str">
        <f t="shared" si="22"/>
        <v/>
      </c>
      <c r="O100" s="258">
        <v>100</v>
      </c>
      <c r="P100" s="257">
        <f t="shared" si="19"/>
        <v>1000</v>
      </c>
      <c r="Q100" s="272" t="str">
        <f t="shared" si="20"/>
        <v/>
      </c>
      <c r="R100" s="273" t="str">
        <f>IFERROR(SUMIF(#REF!,$A100,#REF!),"")</f>
        <v/>
      </c>
      <c r="S100" s="274" t="e">
        <f t="shared" si="21"/>
        <v>#VALUE!</v>
      </c>
      <c r="T100" s="258"/>
      <c r="U100" s="229" t="e">
        <f t="shared" si="23"/>
        <v>#VALUE!</v>
      </c>
      <c r="W100" s="279"/>
      <c r="XFD100" s="193"/>
    </row>
    <row r="101" s="246" customFormat="1" ht="14" spans="1:16384">
      <c r="A101" s="193">
        <v>20230911</v>
      </c>
      <c r="B101" s="193" t="s">
        <v>246</v>
      </c>
      <c r="C101" s="193" t="s">
        <v>25</v>
      </c>
      <c r="D101" s="193" t="s">
        <v>76</v>
      </c>
      <c r="E101" s="193" t="s">
        <v>59</v>
      </c>
      <c r="F101" s="193"/>
      <c r="G101" s="193" t="s">
        <v>247</v>
      </c>
      <c r="H101" s="193" t="s">
        <v>253</v>
      </c>
      <c r="I101" s="193" t="s">
        <v>254</v>
      </c>
      <c r="J101" s="258">
        <v>25</v>
      </c>
      <c r="K101" s="258"/>
      <c r="L101" s="258"/>
      <c r="M101" s="258"/>
      <c r="N101" s="259" t="str">
        <f t="shared" si="22"/>
        <v/>
      </c>
      <c r="O101" s="258">
        <v>100</v>
      </c>
      <c r="P101" s="257">
        <f t="shared" si="19"/>
        <v>2500</v>
      </c>
      <c r="Q101" s="272" t="str">
        <f t="shared" si="20"/>
        <v/>
      </c>
      <c r="R101" s="273" t="str">
        <f>IFERROR(SUMIF(#REF!,$A101,#REF!),"")</f>
        <v/>
      </c>
      <c r="S101" s="274" t="e">
        <f t="shared" si="21"/>
        <v>#VALUE!</v>
      </c>
      <c r="T101" s="258"/>
      <c r="U101" s="229" t="e">
        <f t="shared" si="23"/>
        <v>#VALUE!</v>
      </c>
      <c r="W101" s="279"/>
      <c r="XFD101" s="193"/>
    </row>
    <row r="102" s="246" customFormat="1" ht="14" spans="1:16384">
      <c r="A102" s="193">
        <v>20230912</v>
      </c>
      <c r="B102" s="193" t="s">
        <v>231</v>
      </c>
      <c r="C102" s="193" t="s">
        <v>25</v>
      </c>
      <c r="D102" s="193" t="s">
        <v>255</v>
      </c>
      <c r="E102" s="193" t="s">
        <v>256</v>
      </c>
      <c r="F102" s="193"/>
      <c r="G102" s="193" t="s">
        <v>228</v>
      </c>
      <c r="H102" s="193" t="s">
        <v>257</v>
      </c>
      <c r="I102" s="193" t="s">
        <v>189</v>
      </c>
      <c r="J102" s="258">
        <v>10</v>
      </c>
      <c r="K102" s="258">
        <v>1195</v>
      </c>
      <c r="L102" s="258">
        <v>1946</v>
      </c>
      <c r="M102" s="258">
        <v>751</v>
      </c>
      <c r="N102" s="259">
        <f t="shared" si="22"/>
        <v>0.385919835560123</v>
      </c>
      <c r="O102" s="258">
        <v>100</v>
      </c>
      <c r="P102" s="257">
        <f t="shared" si="19"/>
        <v>1000</v>
      </c>
      <c r="Q102" s="272">
        <f t="shared" si="20"/>
        <v>0.0513874614594039</v>
      </c>
      <c r="R102" s="273" t="str">
        <f>IFERROR(SUMIF(#REF!,$A102,#REF!),"")</f>
        <v/>
      </c>
      <c r="S102" s="274" t="e">
        <f t="shared" si="21"/>
        <v>#VALUE!</v>
      </c>
      <c r="T102" s="258"/>
      <c r="U102" s="229" t="e">
        <f t="shared" si="23"/>
        <v>#VALUE!</v>
      </c>
      <c r="W102" s="279"/>
      <c r="XFD102" s="193"/>
    </row>
    <row r="103" s="246" customFormat="1" customHeight="1" spans="1:21">
      <c r="A103" s="193">
        <v>20230913</v>
      </c>
      <c r="B103" s="182" t="s">
        <v>221</v>
      </c>
      <c r="C103" s="182" t="s">
        <v>25</v>
      </c>
      <c r="D103" s="182" t="s">
        <v>92</v>
      </c>
      <c r="E103" s="182" t="s">
        <v>93</v>
      </c>
      <c r="F103" s="182"/>
      <c r="G103" s="182" t="s">
        <v>222</v>
      </c>
      <c r="H103" s="182" t="s">
        <v>223</v>
      </c>
      <c r="I103" s="182" t="s">
        <v>224</v>
      </c>
      <c r="J103" s="182">
        <v>60</v>
      </c>
      <c r="K103" s="182">
        <v>430</v>
      </c>
      <c r="L103" s="182">
        <v>1500</v>
      </c>
      <c r="M103" s="182">
        <f>L103-K103</f>
        <v>1070</v>
      </c>
      <c r="N103" s="289">
        <f t="shared" si="22"/>
        <v>0.713333333333333</v>
      </c>
      <c r="O103" s="182">
        <v>300</v>
      </c>
      <c r="P103" s="257">
        <f t="shared" si="19"/>
        <v>18000</v>
      </c>
      <c r="Q103" s="294">
        <f t="shared" si="20"/>
        <v>0.2</v>
      </c>
      <c r="R103" s="295" t="str">
        <f>IFERROR(SUMIF([3]商务费用支付申请!$A:$A,$A103,[3]商务费用支付申请!$C:$C),"")</f>
        <v/>
      </c>
      <c r="S103" s="274" t="e">
        <f t="shared" si="21"/>
        <v>#VALUE!</v>
      </c>
      <c r="T103" s="258"/>
      <c r="U103" s="229" t="e">
        <f>R103-P103</f>
        <v>#VALUE!</v>
      </c>
    </row>
    <row r="104" s="246" customFormat="1" customHeight="1" spans="1:21">
      <c r="A104" s="193">
        <v>20230914</v>
      </c>
      <c r="B104" s="182" t="s">
        <v>225</v>
      </c>
      <c r="C104" s="182" t="s">
        <v>25</v>
      </c>
      <c r="D104" s="182" t="s">
        <v>51</v>
      </c>
      <c r="E104" s="182" t="s">
        <v>81</v>
      </c>
      <c r="F104" s="182"/>
      <c r="G104" s="182" t="s">
        <v>228</v>
      </c>
      <c r="H104" s="182" t="s">
        <v>70</v>
      </c>
      <c r="I104" s="182"/>
      <c r="J104" s="182">
        <v>50</v>
      </c>
      <c r="K104" s="182">
        <v>557.52</v>
      </c>
      <c r="L104" s="182">
        <v>2059</v>
      </c>
      <c r="M104" s="182"/>
      <c r="N104" s="289" t="str">
        <f t="shared" si="22"/>
        <v/>
      </c>
      <c r="O104" s="182">
        <v>100</v>
      </c>
      <c r="P104" s="257">
        <f t="shared" si="19"/>
        <v>5000</v>
      </c>
      <c r="Q104" s="272">
        <f t="shared" si="20"/>
        <v>0.0485672656629432</v>
      </c>
      <c r="R104" s="273" t="str">
        <f>IFERROR(SUMIF(#REF!,$A104,#REF!),"")</f>
        <v/>
      </c>
      <c r="S104" s="274" t="e">
        <f t="shared" si="21"/>
        <v>#VALUE!</v>
      </c>
      <c r="T104" s="258"/>
      <c r="U104" s="229" t="e">
        <f>R104-P104</f>
        <v>#VALUE!</v>
      </c>
    </row>
    <row r="105" s="246" customFormat="1" customHeight="1" spans="1:21">
      <c r="A105" s="193">
        <v>20230915</v>
      </c>
      <c r="B105" s="182" t="s">
        <v>239</v>
      </c>
      <c r="C105" s="182" t="s">
        <v>25</v>
      </c>
      <c r="D105" s="182" t="s">
        <v>258</v>
      </c>
      <c r="E105" s="182" t="s">
        <v>73</v>
      </c>
      <c r="F105" s="182"/>
      <c r="G105" s="182" t="s">
        <v>259</v>
      </c>
      <c r="H105" s="182" t="s">
        <v>54</v>
      </c>
      <c r="I105" s="291" t="s">
        <v>55</v>
      </c>
      <c r="J105" s="182">
        <v>150</v>
      </c>
      <c r="K105" s="182">
        <v>3000</v>
      </c>
      <c r="L105" s="182">
        <v>4051</v>
      </c>
      <c r="M105" s="182">
        <v>1051</v>
      </c>
      <c r="N105" s="289">
        <v>0.259442113058504</v>
      </c>
      <c r="O105" s="182">
        <v>100</v>
      </c>
      <c r="P105" s="257">
        <f t="shared" si="19"/>
        <v>15000</v>
      </c>
      <c r="Q105" s="272">
        <f t="shared" si="20"/>
        <v>0.0246852628980499</v>
      </c>
      <c r="R105" s="273" t="str">
        <f>IFERROR(SUMIF(#REF!,$A105,#REF!),"")</f>
        <v/>
      </c>
      <c r="S105" s="274" t="e">
        <f t="shared" si="21"/>
        <v>#VALUE!</v>
      </c>
      <c r="T105" s="258"/>
      <c r="U105" s="229" t="e">
        <f>R105-O105*J105</f>
        <v>#VALUE!</v>
      </c>
    </row>
    <row r="106" s="246" customFormat="1" customHeight="1" spans="1:21">
      <c r="A106" s="193">
        <v>20230916</v>
      </c>
      <c r="B106" s="182" t="s">
        <v>239</v>
      </c>
      <c r="C106" s="182" t="s">
        <v>25</v>
      </c>
      <c r="D106" s="182" t="s">
        <v>260</v>
      </c>
      <c r="E106" s="182" t="s">
        <v>261</v>
      </c>
      <c r="F106" s="182"/>
      <c r="G106" s="182" t="s">
        <v>259</v>
      </c>
      <c r="H106" s="182" t="s">
        <v>262</v>
      </c>
      <c r="I106" s="182" t="s">
        <v>263</v>
      </c>
      <c r="J106" s="182">
        <v>100</v>
      </c>
      <c r="K106" s="182">
        <v>125</v>
      </c>
      <c r="L106" s="182">
        <v>278</v>
      </c>
      <c r="M106" s="182">
        <v>153</v>
      </c>
      <c r="N106" s="289">
        <f>IF(AND($M106&lt;&gt;0,$L106&lt;&gt;0),$M106/$L106,"")</f>
        <v>0.550359712230216</v>
      </c>
      <c r="O106" s="182">
        <v>50</v>
      </c>
      <c r="P106" s="257">
        <f t="shared" si="19"/>
        <v>5000</v>
      </c>
      <c r="Q106" s="272">
        <f t="shared" si="20"/>
        <v>0.179856115107914</v>
      </c>
      <c r="R106" s="273" t="str">
        <f>IFERROR(SUMIF(#REF!,$A106,#REF!),"")</f>
        <v/>
      </c>
      <c r="S106" s="274" t="e">
        <f t="shared" si="21"/>
        <v>#VALUE!</v>
      </c>
      <c r="T106" s="258"/>
      <c r="U106" s="229" t="e">
        <f>R106-O106*J106</f>
        <v>#VALUE!</v>
      </c>
    </row>
    <row r="107" s="246" customFormat="1" customHeight="1" spans="1:21">
      <c r="A107" s="193">
        <v>20230917</v>
      </c>
      <c r="B107" s="182" t="s">
        <v>239</v>
      </c>
      <c r="C107" s="182" t="s">
        <v>25</v>
      </c>
      <c r="D107" s="182" t="s">
        <v>58</v>
      </c>
      <c r="E107" s="182" t="s">
        <v>77</v>
      </c>
      <c r="F107" s="182"/>
      <c r="G107" s="182" t="s">
        <v>259</v>
      </c>
      <c r="H107" s="182" t="s">
        <v>151</v>
      </c>
      <c r="I107" s="182" t="s">
        <v>151</v>
      </c>
      <c r="J107" s="182">
        <v>5</v>
      </c>
      <c r="K107" s="182"/>
      <c r="L107" s="182"/>
      <c r="M107" s="182"/>
      <c r="N107" s="289" t="str">
        <f>IF(AND($M107&lt;&gt;0,$L107&lt;&gt;0),$M107/$L107,"")</f>
        <v/>
      </c>
      <c r="O107" s="182">
        <v>100</v>
      </c>
      <c r="P107" s="257">
        <f t="shared" si="19"/>
        <v>500</v>
      </c>
      <c r="Q107" s="272" t="str">
        <f t="shared" si="20"/>
        <v/>
      </c>
      <c r="R107" s="273" t="str">
        <f>IFERROR(SUMIF(#REF!,$A107,#REF!),"")</f>
        <v/>
      </c>
      <c r="S107" s="274" t="e">
        <f t="shared" si="21"/>
        <v>#VALUE!</v>
      </c>
      <c r="T107" s="258" t="str">
        <f>IFERROR(VLOOKUP(A107,[2]商务费用支付申请!A:B,2,0),"")</f>
        <v/>
      </c>
      <c r="U107" s="229" t="e">
        <f>R107-O107*J107</f>
        <v>#VALUE!</v>
      </c>
    </row>
    <row r="108" s="246" customFormat="1" customHeight="1" spans="1:21">
      <c r="A108" s="193">
        <v>20230918</v>
      </c>
      <c r="B108" s="182" t="s">
        <v>239</v>
      </c>
      <c r="C108" s="182" t="s">
        <v>25</v>
      </c>
      <c r="D108" s="182" t="s">
        <v>58</v>
      </c>
      <c r="E108" s="182" t="s">
        <v>77</v>
      </c>
      <c r="F108" s="182"/>
      <c r="G108" s="182" t="s">
        <v>259</v>
      </c>
      <c r="H108" s="182" t="s">
        <v>264</v>
      </c>
      <c r="I108" s="182" t="s">
        <v>265</v>
      </c>
      <c r="J108" s="182">
        <v>10</v>
      </c>
      <c r="K108" s="182">
        <v>557.52</v>
      </c>
      <c r="L108" s="182">
        <v>2059</v>
      </c>
      <c r="M108" s="182">
        <f>L108-K108</f>
        <v>1501.48</v>
      </c>
      <c r="N108" s="289">
        <f>IF(AND($M108&lt;&gt;0,$L108&lt;&gt;0),$M108/$L108,"")</f>
        <v>0.729227780475959</v>
      </c>
      <c r="O108" s="182">
        <v>100</v>
      </c>
      <c r="P108" s="257">
        <f t="shared" si="19"/>
        <v>1000</v>
      </c>
      <c r="Q108" s="272">
        <f t="shared" si="20"/>
        <v>0.0485672656629432</v>
      </c>
      <c r="R108" s="273" t="str">
        <f>IFERROR(SUMIF(#REF!,$A108,#REF!),"")</f>
        <v/>
      </c>
      <c r="S108" s="274" t="e">
        <f t="shared" si="21"/>
        <v>#VALUE!</v>
      </c>
      <c r="T108" s="258" t="str">
        <f>IFERROR(VLOOKUP(A108,[2]商务费用支付申请!A:B,2,0),"")</f>
        <v/>
      </c>
      <c r="U108" s="229" t="e">
        <f>R108-O108*J108</f>
        <v>#VALUE!</v>
      </c>
    </row>
    <row r="109" s="246" customFormat="1" customHeight="1" spans="1:21">
      <c r="A109" s="193">
        <v>20230919</v>
      </c>
      <c r="B109" s="182" t="s">
        <v>239</v>
      </c>
      <c r="C109" s="182" t="s">
        <v>25</v>
      </c>
      <c r="D109" s="182" t="s">
        <v>58</v>
      </c>
      <c r="E109" s="182" t="s">
        <v>77</v>
      </c>
      <c r="F109" s="182"/>
      <c r="G109" s="182" t="s">
        <v>259</v>
      </c>
      <c r="H109" s="182" t="s">
        <v>70</v>
      </c>
      <c r="I109" s="182" t="s">
        <v>70</v>
      </c>
      <c r="J109" s="182">
        <v>20</v>
      </c>
      <c r="K109" s="182">
        <v>557.52</v>
      </c>
      <c r="L109" s="182">
        <v>2059</v>
      </c>
      <c r="M109" s="182">
        <f>L109-K109</f>
        <v>1501.48</v>
      </c>
      <c r="N109" s="289">
        <f>IF(AND($M109&lt;&gt;0,$L109&lt;&gt;0),$M109/$L109,"")</f>
        <v>0.729227780475959</v>
      </c>
      <c r="O109" s="182">
        <v>100</v>
      </c>
      <c r="P109" s="257">
        <f t="shared" si="19"/>
        <v>2000</v>
      </c>
      <c r="Q109" s="272">
        <f t="shared" si="20"/>
        <v>0.0485672656629432</v>
      </c>
      <c r="R109" s="273" t="str">
        <f>IFERROR(SUMIF(#REF!,$A109,#REF!),"")</f>
        <v/>
      </c>
      <c r="S109" s="274" t="e">
        <f t="shared" si="21"/>
        <v>#VALUE!</v>
      </c>
      <c r="T109" s="258" t="str">
        <f>IFERROR(VLOOKUP(A109,[2]商务费用支付申请!A:B,2,0),"")</f>
        <v/>
      </c>
      <c r="U109" s="229" t="e">
        <f>R109-O109*J109</f>
        <v>#VALUE!</v>
      </c>
    </row>
    <row r="110" s="246" customFormat="1" customHeight="1" spans="1:21">
      <c r="A110" s="193">
        <v>20231001</v>
      </c>
      <c r="B110" s="182" t="s">
        <v>266</v>
      </c>
      <c r="C110" s="182" t="s">
        <v>109</v>
      </c>
      <c r="D110" s="182" t="s">
        <v>129</v>
      </c>
      <c r="E110" s="182" t="s">
        <v>130</v>
      </c>
      <c r="F110" s="182" t="s">
        <v>133</v>
      </c>
      <c r="G110" s="182"/>
      <c r="H110" s="182" t="s">
        <v>267</v>
      </c>
      <c r="I110" s="182" t="s">
        <v>141</v>
      </c>
      <c r="J110" s="182">
        <v>100</v>
      </c>
      <c r="K110" s="182">
        <v>796</v>
      </c>
      <c r="L110" s="182">
        <v>2035</v>
      </c>
      <c r="M110" s="182">
        <f>L110-K110</f>
        <v>1239</v>
      </c>
      <c r="N110" s="289">
        <f>IF(AND($M110&lt;&gt;0,$L110&lt;&gt;0),$M110/$L110,"")</f>
        <v>0.608845208845209</v>
      </c>
      <c r="O110" s="182">
        <v>200</v>
      </c>
      <c r="P110" s="257">
        <f t="shared" ref="P110:P127" si="24">O110*J110</f>
        <v>20000</v>
      </c>
      <c r="Q110" s="272">
        <f t="shared" ref="Q110:Q127" si="25">IF(AND($O110&lt;&gt;0,$L110&lt;&gt;0),$O110/$L110,"")</f>
        <v>0.0982800982800983</v>
      </c>
      <c r="R110" s="273" t="str">
        <f>IFERROR(SUMIF(#REF!,$A110,#REF!),"")</f>
        <v/>
      </c>
      <c r="S110" s="274" t="e">
        <f t="shared" ref="S110:S127" si="26">IF(AND(($M110*$J110-$R110)&lt;&gt;0,($L110*$J110)&lt;&gt;0),($M110*$J110-$R110)/($L110*$J110),"")</f>
        <v>#VALUE!</v>
      </c>
      <c r="T110" s="258">
        <v>5910243774</v>
      </c>
      <c r="U110" s="229" t="e">
        <f t="shared" ref="U110:U127" si="27">R110-O110*J110</f>
        <v>#VALUE!</v>
      </c>
    </row>
    <row r="111" s="246" customFormat="1" customHeight="1" spans="1:21">
      <c r="A111" s="193">
        <v>20231002</v>
      </c>
      <c r="B111" s="182" t="s">
        <v>268</v>
      </c>
      <c r="C111" s="182" t="s">
        <v>109</v>
      </c>
      <c r="D111" s="182" t="s">
        <v>129</v>
      </c>
      <c r="E111" s="182" t="s">
        <v>130</v>
      </c>
      <c r="F111" s="182" t="s">
        <v>133</v>
      </c>
      <c r="G111" s="182"/>
      <c r="H111" s="182" t="s">
        <v>269</v>
      </c>
      <c r="I111" s="182" t="s">
        <v>116</v>
      </c>
      <c r="J111" s="182">
        <v>100</v>
      </c>
      <c r="K111" s="182">
        <v>2565.87</v>
      </c>
      <c r="L111" s="182">
        <v>3585</v>
      </c>
      <c r="M111" s="182">
        <f t="shared" ref="M111:M124" si="28">L111-K111</f>
        <v>1019.13</v>
      </c>
      <c r="N111" s="289">
        <f t="shared" ref="N111:N124" si="29">IF(AND($M111&lt;&gt;0,$L111&lt;&gt;0),$M111/$L111,"")</f>
        <v>0.284276150627615</v>
      </c>
      <c r="O111" s="182">
        <v>70</v>
      </c>
      <c r="P111" s="257">
        <f t="shared" si="24"/>
        <v>7000</v>
      </c>
      <c r="Q111" s="272">
        <f t="shared" si="25"/>
        <v>0.0195258019525802</v>
      </c>
      <c r="R111" s="273" t="str">
        <f>IFERROR(SUMIF(#REF!,$A111,#REF!),"")</f>
        <v/>
      </c>
      <c r="S111" s="274" t="e">
        <f t="shared" si="26"/>
        <v>#VALUE!</v>
      </c>
      <c r="T111" s="258">
        <v>4100162704</v>
      </c>
      <c r="U111" s="229" t="e">
        <f t="shared" si="27"/>
        <v>#VALUE!</v>
      </c>
    </row>
    <row r="112" s="246" customFormat="1" customHeight="1" spans="1:21">
      <c r="A112" s="193">
        <v>20231003</v>
      </c>
      <c r="B112" s="182" t="s">
        <v>268</v>
      </c>
      <c r="C112" s="182" t="s">
        <v>109</v>
      </c>
      <c r="D112" s="182" t="s">
        <v>110</v>
      </c>
      <c r="E112" s="182" t="s">
        <v>111</v>
      </c>
      <c r="F112" s="182" t="s">
        <v>112</v>
      </c>
      <c r="G112" s="182"/>
      <c r="H112" s="182" t="s">
        <v>269</v>
      </c>
      <c r="I112" s="182" t="s">
        <v>116</v>
      </c>
      <c r="J112" s="182">
        <v>80</v>
      </c>
      <c r="K112" s="182">
        <v>2565.87</v>
      </c>
      <c r="L112" s="182">
        <v>3585</v>
      </c>
      <c r="M112" s="182">
        <f t="shared" si="28"/>
        <v>1019.13</v>
      </c>
      <c r="N112" s="289">
        <f t="shared" si="29"/>
        <v>0.284276150627615</v>
      </c>
      <c r="O112" s="182">
        <v>67</v>
      </c>
      <c r="P112" s="257">
        <f t="shared" si="24"/>
        <v>5360</v>
      </c>
      <c r="Q112" s="272">
        <f t="shared" si="25"/>
        <v>0.0186889818688982</v>
      </c>
      <c r="R112" s="273" t="str">
        <f>IFERROR(SUMIF(#REF!,$A112,#REF!),"")</f>
        <v/>
      </c>
      <c r="S112" s="274" t="e">
        <f t="shared" si="26"/>
        <v>#VALUE!</v>
      </c>
      <c r="T112" s="258" t="s">
        <v>270</v>
      </c>
      <c r="U112" s="229" t="e">
        <f t="shared" si="27"/>
        <v>#VALUE!</v>
      </c>
    </row>
    <row r="113" s="246" customFormat="1" customHeight="1" spans="1:21">
      <c r="A113" s="193">
        <v>20231004</v>
      </c>
      <c r="B113" s="182" t="s">
        <v>268</v>
      </c>
      <c r="C113" s="182" t="s">
        <v>109</v>
      </c>
      <c r="D113" s="182" t="s">
        <v>110</v>
      </c>
      <c r="E113" s="182" t="s">
        <v>111</v>
      </c>
      <c r="F113" s="182" t="s">
        <v>112</v>
      </c>
      <c r="G113" s="182"/>
      <c r="H113" s="182" t="s">
        <v>113</v>
      </c>
      <c r="I113" s="182" t="s">
        <v>271</v>
      </c>
      <c r="J113" s="182">
        <v>162</v>
      </c>
      <c r="K113" s="182">
        <v>557.6</v>
      </c>
      <c r="L113" s="182">
        <v>1752</v>
      </c>
      <c r="M113" s="182">
        <f t="shared" si="28"/>
        <v>1194.4</v>
      </c>
      <c r="N113" s="289">
        <f t="shared" si="29"/>
        <v>0.681735159817352</v>
      </c>
      <c r="O113" s="182">
        <v>100</v>
      </c>
      <c r="P113" s="257">
        <f t="shared" si="24"/>
        <v>16200</v>
      </c>
      <c r="Q113" s="272">
        <f t="shared" si="25"/>
        <v>0.0570776255707763</v>
      </c>
      <c r="R113" s="273" t="str">
        <f>IFERROR(SUMIF(#REF!,$A113,#REF!),"")</f>
        <v/>
      </c>
      <c r="S113" s="274" t="e">
        <f t="shared" si="26"/>
        <v>#VALUE!</v>
      </c>
      <c r="T113" s="258" t="s">
        <v>272</v>
      </c>
      <c r="U113" s="229" t="e">
        <f t="shared" si="27"/>
        <v>#VALUE!</v>
      </c>
    </row>
    <row r="114" s="246" customFormat="1" customHeight="1" spans="1:21">
      <c r="A114" s="193">
        <v>20231005</v>
      </c>
      <c r="B114" s="182" t="s">
        <v>268</v>
      </c>
      <c r="C114" s="182" t="s">
        <v>109</v>
      </c>
      <c r="D114" s="182" t="s">
        <v>110</v>
      </c>
      <c r="E114" s="182" t="s">
        <v>111</v>
      </c>
      <c r="F114" s="182" t="s">
        <v>112</v>
      </c>
      <c r="G114" s="182"/>
      <c r="H114" s="182" t="s">
        <v>273</v>
      </c>
      <c r="I114" s="182" t="s">
        <v>141</v>
      </c>
      <c r="J114" s="182">
        <v>249</v>
      </c>
      <c r="K114" s="182">
        <v>619.5</v>
      </c>
      <c r="L114" s="182">
        <v>1290</v>
      </c>
      <c r="M114" s="182">
        <f t="shared" si="28"/>
        <v>670.5</v>
      </c>
      <c r="N114" s="289">
        <f t="shared" si="29"/>
        <v>0.519767441860465</v>
      </c>
      <c r="O114" s="182">
        <v>50</v>
      </c>
      <c r="P114" s="257">
        <f t="shared" si="24"/>
        <v>12450</v>
      </c>
      <c r="Q114" s="272">
        <f t="shared" si="25"/>
        <v>0.0387596899224806</v>
      </c>
      <c r="R114" s="273" t="str">
        <f>IFERROR(SUMIF(#REF!,$A114,#REF!),"")</f>
        <v/>
      </c>
      <c r="S114" s="274" t="e">
        <f t="shared" si="26"/>
        <v>#VALUE!</v>
      </c>
      <c r="T114" s="258" t="s">
        <v>274</v>
      </c>
      <c r="U114" s="229" t="e">
        <f t="shared" si="27"/>
        <v>#VALUE!</v>
      </c>
    </row>
    <row r="115" s="246" customFormat="1" customHeight="1" spans="1:21">
      <c r="A115" s="193">
        <v>20231006</v>
      </c>
      <c r="B115" s="182" t="s">
        <v>268</v>
      </c>
      <c r="C115" s="182" t="s">
        <v>109</v>
      </c>
      <c r="D115" s="182" t="s">
        <v>110</v>
      </c>
      <c r="E115" s="182" t="s">
        <v>111</v>
      </c>
      <c r="F115" s="182" t="s">
        <v>112</v>
      </c>
      <c r="G115" s="182"/>
      <c r="H115" s="182" t="s">
        <v>275</v>
      </c>
      <c r="I115" s="182" t="s">
        <v>122</v>
      </c>
      <c r="J115" s="182">
        <v>12</v>
      </c>
      <c r="K115" s="182">
        <v>1195</v>
      </c>
      <c r="L115" s="182">
        <v>1850</v>
      </c>
      <c r="M115" s="182">
        <f t="shared" si="28"/>
        <v>655</v>
      </c>
      <c r="N115" s="289">
        <f t="shared" si="29"/>
        <v>0.354054054054054</v>
      </c>
      <c r="O115" s="182">
        <v>100</v>
      </c>
      <c r="P115" s="257">
        <f t="shared" si="24"/>
        <v>1200</v>
      </c>
      <c r="Q115" s="272">
        <f t="shared" si="25"/>
        <v>0.0540540540540541</v>
      </c>
      <c r="R115" s="273" t="str">
        <f>IFERROR(SUMIF(#REF!,$A115,#REF!),"")</f>
        <v/>
      </c>
      <c r="S115" s="274" t="e">
        <f t="shared" si="26"/>
        <v>#VALUE!</v>
      </c>
      <c r="T115" s="258">
        <v>5910646549</v>
      </c>
      <c r="U115" s="229" t="e">
        <f t="shared" si="27"/>
        <v>#VALUE!</v>
      </c>
    </row>
    <row r="116" s="246" customFormat="1" customHeight="1" spans="1:21">
      <c r="A116" s="193">
        <v>20231007</v>
      </c>
      <c r="B116" s="182" t="s">
        <v>268</v>
      </c>
      <c r="C116" s="182" t="s">
        <v>109</v>
      </c>
      <c r="D116" s="182" t="s">
        <v>110</v>
      </c>
      <c r="E116" s="182" t="s">
        <v>111</v>
      </c>
      <c r="F116" s="182" t="s">
        <v>112</v>
      </c>
      <c r="G116" s="182"/>
      <c r="H116" s="182" t="s">
        <v>276</v>
      </c>
      <c r="I116" s="182" t="s">
        <v>122</v>
      </c>
      <c r="J116" s="182">
        <v>47</v>
      </c>
      <c r="K116" s="182">
        <v>1195</v>
      </c>
      <c r="L116" s="182">
        <v>2017</v>
      </c>
      <c r="M116" s="182">
        <f t="shared" si="28"/>
        <v>822</v>
      </c>
      <c r="N116" s="289">
        <f t="shared" si="29"/>
        <v>0.407535944471988</v>
      </c>
      <c r="O116" s="182">
        <v>100</v>
      </c>
      <c r="P116" s="257">
        <f t="shared" si="24"/>
        <v>4700</v>
      </c>
      <c r="Q116" s="272">
        <f t="shared" si="25"/>
        <v>0.0495785820525533</v>
      </c>
      <c r="R116" s="273" t="str">
        <f>IFERROR(SUMIF(#REF!,$A116,#REF!),"")</f>
        <v/>
      </c>
      <c r="S116" s="274" t="e">
        <f t="shared" si="26"/>
        <v>#VALUE!</v>
      </c>
      <c r="T116" s="258" t="s">
        <v>277</v>
      </c>
      <c r="U116" s="229" t="e">
        <f t="shared" si="27"/>
        <v>#VALUE!</v>
      </c>
    </row>
    <row r="117" s="246" customFormat="1" customHeight="1" spans="1:21">
      <c r="A117" s="193">
        <v>20231008</v>
      </c>
      <c r="B117" s="182" t="s">
        <v>268</v>
      </c>
      <c r="C117" s="182" t="s">
        <v>109</v>
      </c>
      <c r="D117" s="182" t="s">
        <v>134</v>
      </c>
      <c r="E117" s="182" t="s">
        <v>135</v>
      </c>
      <c r="F117" s="182" t="s">
        <v>136</v>
      </c>
      <c r="G117" s="182"/>
      <c r="H117" s="182" t="s">
        <v>278</v>
      </c>
      <c r="I117" s="182" t="s">
        <v>271</v>
      </c>
      <c r="J117" s="182">
        <v>25</v>
      </c>
      <c r="K117" s="182">
        <v>600</v>
      </c>
      <c r="L117" s="182">
        <v>1146</v>
      </c>
      <c r="M117" s="182">
        <f t="shared" si="28"/>
        <v>546</v>
      </c>
      <c r="N117" s="289">
        <f t="shared" si="29"/>
        <v>0.476439790575916</v>
      </c>
      <c r="O117" s="182">
        <v>50</v>
      </c>
      <c r="P117" s="257">
        <f t="shared" si="24"/>
        <v>1250</v>
      </c>
      <c r="Q117" s="272">
        <f t="shared" si="25"/>
        <v>0.043630017452007</v>
      </c>
      <c r="R117" s="273" t="str">
        <f>IFERROR(SUMIF(#REF!,$A117,#REF!),"")</f>
        <v/>
      </c>
      <c r="S117" s="274" t="e">
        <f t="shared" si="26"/>
        <v>#VALUE!</v>
      </c>
      <c r="T117" s="258" t="s">
        <v>279</v>
      </c>
      <c r="U117" s="229" t="e">
        <f t="shared" si="27"/>
        <v>#VALUE!</v>
      </c>
    </row>
    <row r="118" s="246" customFormat="1" customHeight="1" spans="1:21">
      <c r="A118" s="193">
        <v>20231009</v>
      </c>
      <c r="B118" s="182" t="s">
        <v>268</v>
      </c>
      <c r="C118" s="182" t="s">
        <v>109</v>
      </c>
      <c r="D118" s="182" t="s">
        <v>124</v>
      </c>
      <c r="E118" s="182" t="s">
        <v>125</v>
      </c>
      <c r="F118" s="182" t="s">
        <v>126</v>
      </c>
      <c r="G118" s="182"/>
      <c r="H118" s="182" t="s">
        <v>267</v>
      </c>
      <c r="I118" s="182" t="s">
        <v>141</v>
      </c>
      <c r="J118" s="182">
        <v>64</v>
      </c>
      <c r="K118" s="182">
        <v>796</v>
      </c>
      <c r="L118" s="182">
        <v>2035</v>
      </c>
      <c r="M118" s="182">
        <f t="shared" si="28"/>
        <v>1239</v>
      </c>
      <c r="N118" s="289">
        <f t="shared" si="29"/>
        <v>0.608845208845209</v>
      </c>
      <c r="O118" s="182">
        <v>100</v>
      </c>
      <c r="P118" s="257">
        <f t="shared" si="24"/>
        <v>6400</v>
      </c>
      <c r="Q118" s="272">
        <f t="shared" si="25"/>
        <v>0.0491400491400491</v>
      </c>
      <c r="R118" s="273" t="str">
        <f>IFERROR(SUMIF(#REF!,$A118,#REF!),"")</f>
        <v/>
      </c>
      <c r="S118" s="274" t="e">
        <f t="shared" si="26"/>
        <v>#VALUE!</v>
      </c>
      <c r="T118" s="258" t="s">
        <v>280</v>
      </c>
      <c r="U118" s="229" t="e">
        <f t="shared" si="27"/>
        <v>#VALUE!</v>
      </c>
    </row>
    <row r="119" s="246" customFormat="1" customHeight="1" spans="1:21">
      <c r="A119" s="193">
        <v>20231010</v>
      </c>
      <c r="B119" s="182" t="s">
        <v>268</v>
      </c>
      <c r="C119" s="182" t="s">
        <v>109</v>
      </c>
      <c r="D119" s="182" t="s">
        <v>124</v>
      </c>
      <c r="E119" s="182" t="s">
        <v>125</v>
      </c>
      <c r="F119" s="182" t="s">
        <v>126</v>
      </c>
      <c r="G119" s="182"/>
      <c r="H119" s="182" t="s">
        <v>281</v>
      </c>
      <c r="I119" s="182" t="s">
        <v>271</v>
      </c>
      <c r="J119" s="182">
        <v>40</v>
      </c>
      <c r="K119" s="182">
        <v>558</v>
      </c>
      <c r="L119" s="182">
        <v>884</v>
      </c>
      <c r="M119" s="182">
        <f t="shared" si="28"/>
        <v>326</v>
      </c>
      <c r="N119" s="289">
        <f t="shared" si="29"/>
        <v>0.368778280542986</v>
      </c>
      <c r="O119" s="182">
        <v>100</v>
      </c>
      <c r="P119" s="257">
        <f t="shared" si="24"/>
        <v>4000</v>
      </c>
      <c r="Q119" s="272">
        <f t="shared" si="25"/>
        <v>0.113122171945701</v>
      </c>
      <c r="R119" s="273" t="str">
        <f>IFERROR(SUMIF(#REF!,$A119,#REF!),"")</f>
        <v/>
      </c>
      <c r="S119" s="274" t="e">
        <f t="shared" si="26"/>
        <v>#VALUE!</v>
      </c>
      <c r="T119" s="258" t="s">
        <v>282</v>
      </c>
      <c r="U119" s="229" t="e">
        <f t="shared" si="27"/>
        <v>#VALUE!</v>
      </c>
    </row>
    <row r="120" s="246" customFormat="1" customHeight="1" spans="1:21">
      <c r="A120" s="193">
        <v>20231011</v>
      </c>
      <c r="B120" s="182" t="s">
        <v>268</v>
      </c>
      <c r="C120" s="182" t="s">
        <v>109</v>
      </c>
      <c r="D120" s="182" t="s">
        <v>124</v>
      </c>
      <c r="E120" s="182" t="s">
        <v>283</v>
      </c>
      <c r="F120" s="182" t="s">
        <v>126</v>
      </c>
      <c r="G120" s="182"/>
      <c r="H120" s="182" t="s">
        <v>284</v>
      </c>
      <c r="I120" s="182" t="s">
        <v>116</v>
      </c>
      <c r="J120" s="182">
        <v>100</v>
      </c>
      <c r="K120" s="182">
        <v>2565.87</v>
      </c>
      <c r="L120" s="182">
        <v>3585</v>
      </c>
      <c r="M120" s="182">
        <f t="shared" si="28"/>
        <v>1019.13</v>
      </c>
      <c r="N120" s="289">
        <f t="shared" si="29"/>
        <v>0.284276150627615</v>
      </c>
      <c r="O120" s="182">
        <v>67</v>
      </c>
      <c r="P120" s="257">
        <f t="shared" si="24"/>
        <v>6700</v>
      </c>
      <c r="Q120" s="272">
        <f t="shared" si="25"/>
        <v>0.0186889818688982</v>
      </c>
      <c r="R120" s="273" t="str">
        <f>IFERROR(SUMIF(#REF!,$A120,#REF!),"")</f>
        <v/>
      </c>
      <c r="S120" s="274" t="e">
        <f t="shared" si="26"/>
        <v>#VALUE!</v>
      </c>
      <c r="T120" s="258">
        <v>4100168336</v>
      </c>
      <c r="U120" s="229" t="e">
        <f t="shared" si="27"/>
        <v>#VALUE!</v>
      </c>
    </row>
    <row r="121" s="246" customFormat="1" customHeight="1" spans="1:21">
      <c r="A121" s="193">
        <v>20231012</v>
      </c>
      <c r="B121" s="182" t="s">
        <v>268</v>
      </c>
      <c r="C121" s="182" t="s">
        <v>109</v>
      </c>
      <c r="D121" s="182" t="s">
        <v>285</v>
      </c>
      <c r="E121" s="182" t="s">
        <v>286</v>
      </c>
      <c r="F121" s="182" t="s">
        <v>287</v>
      </c>
      <c r="G121" s="182"/>
      <c r="H121" s="182" t="s">
        <v>288</v>
      </c>
      <c r="I121" s="182" t="s">
        <v>271</v>
      </c>
      <c r="J121" s="182">
        <v>42</v>
      </c>
      <c r="K121" s="182">
        <v>930</v>
      </c>
      <c r="L121" s="182">
        <v>1690</v>
      </c>
      <c r="M121" s="182">
        <f t="shared" si="28"/>
        <v>760</v>
      </c>
      <c r="N121" s="289">
        <f t="shared" si="29"/>
        <v>0.449704142011834</v>
      </c>
      <c r="O121" s="182"/>
      <c r="P121" s="257">
        <f t="shared" si="24"/>
        <v>0</v>
      </c>
      <c r="Q121" s="272" t="str">
        <f t="shared" si="25"/>
        <v/>
      </c>
      <c r="R121" s="273" t="str">
        <f>IFERROR(SUMIF(#REF!,$A121,#REF!),"")</f>
        <v/>
      </c>
      <c r="S121" s="274" t="e">
        <f t="shared" si="26"/>
        <v>#VALUE!</v>
      </c>
      <c r="T121" s="296" t="s">
        <v>289</v>
      </c>
      <c r="U121" s="229" t="e">
        <f t="shared" si="27"/>
        <v>#VALUE!</v>
      </c>
    </row>
    <row r="122" s="246" customFormat="1" customHeight="1" spans="1:21">
      <c r="A122" s="193">
        <v>20231013</v>
      </c>
      <c r="B122" s="182" t="s">
        <v>268</v>
      </c>
      <c r="C122" s="182" t="s">
        <v>109</v>
      </c>
      <c r="D122" s="182" t="s">
        <v>285</v>
      </c>
      <c r="E122" s="182" t="s">
        <v>286</v>
      </c>
      <c r="F122" s="182" t="s">
        <v>287</v>
      </c>
      <c r="G122" s="182"/>
      <c r="H122" s="182" t="s">
        <v>276</v>
      </c>
      <c r="I122" s="182" t="s">
        <v>122</v>
      </c>
      <c r="J122" s="182">
        <v>7</v>
      </c>
      <c r="K122" s="182">
        <v>1195</v>
      </c>
      <c r="L122" s="182">
        <v>2050</v>
      </c>
      <c r="M122" s="182">
        <f t="shared" si="28"/>
        <v>855</v>
      </c>
      <c r="N122" s="289">
        <f t="shared" si="29"/>
        <v>0.417073170731707</v>
      </c>
      <c r="O122" s="182"/>
      <c r="P122" s="257">
        <f t="shared" si="24"/>
        <v>0</v>
      </c>
      <c r="Q122" s="272" t="str">
        <f t="shared" si="25"/>
        <v/>
      </c>
      <c r="R122" s="273" t="str">
        <f>IFERROR(SUMIF(#REF!,$A122,#REF!),"")</f>
        <v/>
      </c>
      <c r="S122" s="274" t="e">
        <f t="shared" si="26"/>
        <v>#VALUE!</v>
      </c>
      <c r="T122" s="297"/>
      <c r="U122" s="229" t="e">
        <f t="shared" si="27"/>
        <v>#VALUE!</v>
      </c>
    </row>
    <row r="123" s="246" customFormat="1" customHeight="1" spans="1:21">
      <c r="A123" s="193">
        <v>20231014</v>
      </c>
      <c r="B123" s="182" t="s">
        <v>268</v>
      </c>
      <c r="C123" s="182" t="s">
        <v>109</v>
      </c>
      <c r="D123" s="182" t="s">
        <v>285</v>
      </c>
      <c r="E123" s="182" t="s">
        <v>286</v>
      </c>
      <c r="F123" s="182" t="s">
        <v>287</v>
      </c>
      <c r="G123" s="182"/>
      <c r="H123" s="182" t="s">
        <v>290</v>
      </c>
      <c r="I123" s="182" t="s">
        <v>291</v>
      </c>
      <c r="J123" s="182">
        <v>15</v>
      </c>
      <c r="K123" s="182">
        <v>2000</v>
      </c>
      <c r="L123" s="182">
        <v>2750</v>
      </c>
      <c r="M123" s="182">
        <f t="shared" si="28"/>
        <v>750</v>
      </c>
      <c r="N123" s="289">
        <f t="shared" si="29"/>
        <v>0.272727272727273</v>
      </c>
      <c r="O123" s="182"/>
      <c r="P123" s="257">
        <f t="shared" si="24"/>
        <v>0</v>
      </c>
      <c r="Q123" s="272" t="str">
        <f t="shared" si="25"/>
        <v/>
      </c>
      <c r="R123" s="273" t="str">
        <f>IFERROR(SUMIF(#REF!,$A123,#REF!),"")</f>
        <v/>
      </c>
      <c r="S123" s="274" t="e">
        <f t="shared" si="26"/>
        <v>#VALUE!</v>
      </c>
      <c r="T123" s="297"/>
      <c r="U123" s="229" t="e">
        <f t="shared" si="27"/>
        <v>#VALUE!</v>
      </c>
    </row>
    <row r="124" s="246" customFormat="1" customHeight="1" spans="1:21">
      <c r="A124" s="193">
        <v>20231015</v>
      </c>
      <c r="B124" s="182" t="s">
        <v>268</v>
      </c>
      <c r="C124" s="182" t="s">
        <v>109</v>
      </c>
      <c r="D124" s="182" t="s">
        <v>285</v>
      </c>
      <c r="E124" s="182" t="s">
        <v>286</v>
      </c>
      <c r="F124" s="182" t="s">
        <v>287</v>
      </c>
      <c r="G124" s="182"/>
      <c r="H124" s="182" t="s">
        <v>273</v>
      </c>
      <c r="I124" s="182" t="s">
        <v>141</v>
      </c>
      <c r="J124" s="182">
        <v>6</v>
      </c>
      <c r="K124" s="182">
        <v>619.5</v>
      </c>
      <c r="L124" s="182">
        <v>1290</v>
      </c>
      <c r="M124" s="182">
        <f t="shared" si="28"/>
        <v>670.5</v>
      </c>
      <c r="N124" s="289">
        <f t="shared" si="29"/>
        <v>0.519767441860465</v>
      </c>
      <c r="O124" s="182"/>
      <c r="P124" s="257">
        <f t="shared" si="24"/>
        <v>0</v>
      </c>
      <c r="Q124" s="272" t="str">
        <f t="shared" si="25"/>
        <v/>
      </c>
      <c r="R124" s="273" t="str">
        <f>IFERROR(SUMIF(#REF!,$A124,#REF!),"")</f>
        <v/>
      </c>
      <c r="S124" s="274" t="e">
        <f t="shared" si="26"/>
        <v>#VALUE!</v>
      </c>
      <c r="T124" s="298"/>
      <c r="U124" s="229" t="e">
        <f t="shared" si="27"/>
        <v>#VALUE!</v>
      </c>
    </row>
    <row r="125" s="246" customFormat="1" customHeight="1" spans="1:21">
      <c r="A125" s="193">
        <v>20231016</v>
      </c>
      <c r="B125" s="182" t="s">
        <v>292</v>
      </c>
      <c r="C125" s="182" t="s">
        <v>25</v>
      </c>
      <c r="D125" s="182" t="s">
        <v>51</v>
      </c>
      <c r="E125" s="182" t="s">
        <v>73</v>
      </c>
      <c r="F125" s="182"/>
      <c r="G125" s="182" t="s">
        <v>259</v>
      </c>
      <c r="H125" s="182" t="s">
        <v>293</v>
      </c>
      <c r="I125" s="182" t="s">
        <v>294</v>
      </c>
      <c r="J125" s="182">
        <v>15</v>
      </c>
      <c r="K125" s="182">
        <v>710</v>
      </c>
      <c r="L125" s="182">
        <v>1693</v>
      </c>
      <c r="M125" s="182">
        <v>983</v>
      </c>
      <c r="N125" s="289">
        <v>0.580626107501477</v>
      </c>
      <c r="O125" s="182">
        <v>100</v>
      </c>
      <c r="P125" s="257">
        <f t="shared" si="24"/>
        <v>1500</v>
      </c>
      <c r="Q125" s="272">
        <f t="shared" si="25"/>
        <v>0.0590667454223272</v>
      </c>
      <c r="R125" s="273" t="str">
        <f>IFERROR(SUMIF(#REF!,$A125,#REF!),"")</f>
        <v/>
      </c>
      <c r="S125" s="274" t="e">
        <f t="shared" si="26"/>
        <v>#VALUE!</v>
      </c>
      <c r="T125" s="258"/>
      <c r="U125" s="229" t="e">
        <f t="shared" si="27"/>
        <v>#VALUE!</v>
      </c>
    </row>
    <row r="126" s="246" customFormat="1" customHeight="1" spans="1:21">
      <c r="A126" s="193">
        <v>20231017</v>
      </c>
      <c r="B126" s="182" t="s">
        <v>292</v>
      </c>
      <c r="C126" s="182" t="s">
        <v>25</v>
      </c>
      <c r="D126" s="182" t="s">
        <v>76</v>
      </c>
      <c r="E126" s="182" t="s">
        <v>59</v>
      </c>
      <c r="F126" s="182"/>
      <c r="G126" s="182" t="s">
        <v>247</v>
      </c>
      <c r="H126" s="182" t="s">
        <v>250</v>
      </c>
      <c r="I126" s="182" t="s">
        <v>238</v>
      </c>
      <c r="J126" s="182">
        <v>10</v>
      </c>
      <c r="K126" s="182">
        <v>3584</v>
      </c>
      <c r="L126" s="182">
        <v>5523</v>
      </c>
      <c r="M126" s="182">
        <v>1939</v>
      </c>
      <c r="N126" s="289">
        <f>IF(AND($M126&lt;&gt;0,$L126&lt;&gt;0),$M126/$L126,"")</f>
        <v>0.351077313054499</v>
      </c>
      <c r="O126" s="182">
        <v>100</v>
      </c>
      <c r="P126" s="257">
        <f t="shared" si="24"/>
        <v>1000</v>
      </c>
      <c r="Q126" s="272">
        <f t="shared" si="25"/>
        <v>0.0181061017562919</v>
      </c>
      <c r="R126" s="273" t="str">
        <f>IFERROR(SUMIF(#REF!,$A126,#REF!),"")</f>
        <v/>
      </c>
      <c r="S126" s="274" t="e">
        <f t="shared" si="26"/>
        <v>#VALUE!</v>
      </c>
      <c r="T126" s="258"/>
      <c r="U126" s="229" t="e">
        <f t="shared" si="27"/>
        <v>#VALUE!</v>
      </c>
    </row>
    <row r="127" s="246" customFormat="1" customHeight="1" spans="1:21">
      <c r="A127" s="193">
        <v>20231018</v>
      </c>
      <c r="B127" s="182" t="s">
        <v>295</v>
      </c>
      <c r="C127" s="182" t="s">
        <v>25</v>
      </c>
      <c r="D127" s="182" t="s">
        <v>296</v>
      </c>
      <c r="E127" s="182" t="s">
        <v>150</v>
      </c>
      <c r="F127" s="182"/>
      <c r="G127" s="182" t="s">
        <v>297</v>
      </c>
      <c r="H127" s="182" t="s">
        <v>257</v>
      </c>
      <c r="I127" s="182" t="s">
        <v>189</v>
      </c>
      <c r="J127" s="182">
        <v>15</v>
      </c>
      <c r="K127" s="182">
        <v>1195</v>
      </c>
      <c r="L127" s="182">
        <v>1946</v>
      </c>
      <c r="M127" s="182">
        <v>751</v>
      </c>
      <c r="N127" s="289">
        <f>IF(AND($M127&lt;&gt;0,$L127&lt;&gt;0),$M127/$L127,"")</f>
        <v>0.385919835560123</v>
      </c>
      <c r="O127" s="182">
        <v>100</v>
      </c>
      <c r="P127" s="257">
        <f t="shared" si="24"/>
        <v>1500</v>
      </c>
      <c r="Q127" s="272">
        <f t="shared" si="25"/>
        <v>0.0513874614594039</v>
      </c>
      <c r="R127" s="273" t="str">
        <f>IFERROR(SUMIF(#REF!,$A127,#REF!),"")</f>
        <v/>
      </c>
      <c r="S127" s="274" t="e">
        <f t="shared" si="26"/>
        <v>#VALUE!</v>
      </c>
      <c r="T127" s="258" t="str">
        <f>IFERROR(VLOOKUP(A127,[2]商务费用支付申请!A:B,2,0),"")</f>
        <v/>
      </c>
      <c r="U127" s="229" t="e">
        <f t="shared" si="27"/>
        <v>#VALUE!</v>
      </c>
    </row>
    <row r="128" s="246" customFormat="1" customHeight="1" spans="1:21">
      <c r="A128" s="193">
        <v>20231101</v>
      </c>
      <c r="B128" s="182" t="s">
        <v>298</v>
      </c>
      <c r="C128" s="182" t="s">
        <v>25</v>
      </c>
      <c r="D128" s="182" t="s">
        <v>76</v>
      </c>
      <c r="E128" s="182" t="s">
        <v>59</v>
      </c>
      <c r="F128" s="182"/>
      <c r="G128" s="182" t="s">
        <v>297</v>
      </c>
      <c r="H128" s="182" t="s">
        <v>299</v>
      </c>
      <c r="I128" s="182" t="s">
        <v>300</v>
      </c>
      <c r="J128" s="182">
        <v>5</v>
      </c>
      <c r="K128" s="182">
        <v>3540</v>
      </c>
      <c r="L128" s="182">
        <v>6900</v>
      </c>
      <c r="M128" s="182">
        <v>3360</v>
      </c>
      <c r="N128" s="289">
        <v>0.48695652173913</v>
      </c>
      <c r="O128" s="182">
        <v>300</v>
      </c>
      <c r="P128" s="257">
        <f t="shared" ref="P128:P148" si="30">O128*J128</f>
        <v>1500</v>
      </c>
      <c r="Q128" s="272">
        <f t="shared" ref="Q128:Q148" si="31">IF(AND($O128&lt;&gt;0,$L128&lt;&gt;0),$O128/$L128,"")</f>
        <v>0.0434782608695652</v>
      </c>
      <c r="R128" s="273" t="str">
        <f>IFERROR(SUMIF(#REF!,$A128,#REF!),"")</f>
        <v/>
      </c>
      <c r="S128" s="274" t="e">
        <f t="shared" ref="S128:S148" si="32">IF(AND(($M128*$J128-$R128)&lt;&gt;0,($L128*$J128)&lt;&gt;0),($M128*$J128-$R128)/($L128*$J128),"")</f>
        <v>#VALUE!</v>
      </c>
      <c r="T128" s="258" t="str">
        <f>IFERROR(VLOOKUP(A128,[2]商务费用支付申请!A:B,2,0),"")</f>
        <v/>
      </c>
      <c r="U128" s="229" t="e">
        <f t="shared" ref="U128:U148" si="33">R128-O128*J128</f>
        <v>#VALUE!</v>
      </c>
    </row>
    <row r="129" s="246" customFormat="1" customHeight="1" spans="1:21">
      <c r="A129" s="193">
        <v>20231102</v>
      </c>
      <c r="B129" s="182" t="s">
        <v>301</v>
      </c>
      <c r="C129" s="182" t="s">
        <v>25</v>
      </c>
      <c r="D129" s="182" t="s">
        <v>76</v>
      </c>
      <c r="E129" s="182" t="s">
        <v>59</v>
      </c>
      <c r="F129" s="182"/>
      <c r="G129" s="182" t="s">
        <v>297</v>
      </c>
      <c r="H129" s="182" t="s">
        <v>214</v>
      </c>
      <c r="I129" s="182" t="s">
        <v>215</v>
      </c>
      <c r="J129" s="182">
        <v>10</v>
      </c>
      <c r="K129" s="182">
        <v>1600</v>
      </c>
      <c r="L129" s="182">
        <v>3200</v>
      </c>
      <c r="M129" s="182">
        <v>1600</v>
      </c>
      <c r="N129" s="289">
        <v>0.5</v>
      </c>
      <c r="O129" s="182">
        <v>100</v>
      </c>
      <c r="P129" s="257">
        <f t="shared" si="30"/>
        <v>1000</v>
      </c>
      <c r="Q129" s="272">
        <f t="shared" si="31"/>
        <v>0.03125</v>
      </c>
      <c r="R129" s="273" t="str">
        <f>IFERROR(SUMIF(#REF!,$A129,#REF!),"")</f>
        <v/>
      </c>
      <c r="S129" s="274" t="e">
        <f t="shared" si="32"/>
        <v>#VALUE!</v>
      </c>
      <c r="T129" s="258" t="str">
        <f>IFERROR(VLOOKUP(A129,[2]商务费用支付申请!A:B,2,0),"")</f>
        <v/>
      </c>
      <c r="U129" s="229" t="e">
        <f t="shared" si="33"/>
        <v>#VALUE!</v>
      </c>
    </row>
    <row r="130" s="246" customFormat="1" customHeight="1" spans="1:21">
      <c r="A130" s="193">
        <v>20231103</v>
      </c>
      <c r="B130" s="182" t="s">
        <v>301</v>
      </c>
      <c r="C130" s="182" t="s">
        <v>25</v>
      </c>
      <c r="D130" s="182" t="s">
        <v>76</v>
      </c>
      <c r="E130" s="182" t="s">
        <v>59</v>
      </c>
      <c r="F130" s="182"/>
      <c r="G130" s="182" t="s">
        <v>297</v>
      </c>
      <c r="H130" s="182" t="s">
        <v>251</v>
      </c>
      <c r="I130" s="182" t="s">
        <v>302</v>
      </c>
      <c r="J130" s="182">
        <v>8</v>
      </c>
      <c r="K130" s="182">
        <v>1934</v>
      </c>
      <c r="L130" s="182">
        <v>3265</v>
      </c>
      <c r="M130" s="182">
        <v>1331</v>
      </c>
      <c r="N130" s="289">
        <v>0.407656967840735</v>
      </c>
      <c r="O130" s="182">
        <v>100</v>
      </c>
      <c r="P130" s="257">
        <f t="shared" si="30"/>
        <v>800</v>
      </c>
      <c r="Q130" s="272">
        <f t="shared" si="31"/>
        <v>0.0306278713629403</v>
      </c>
      <c r="R130" s="273" t="str">
        <f>IFERROR(SUMIF(#REF!,$A130,#REF!),"")</f>
        <v/>
      </c>
      <c r="S130" s="274" t="e">
        <f t="shared" si="32"/>
        <v>#VALUE!</v>
      </c>
      <c r="T130" s="258" t="str">
        <f>IFERROR(VLOOKUP(A130,[2]商务费用支付申请!A:B,2,0),"")</f>
        <v/>
      </c>
      <c r="U130" s="229" t="e">
        <f t="shared" si="33"/>
        <v>#VALUE!</v>
      </c>
    </row>
    <row r="131" s="246" customFormat="1" customHeight="1" spans="1:21">
      <c r="A131" s="193">
        <v>20231104</v>
      </c>
      <c r="B131" s="182" t="s">
        <v>301</v>
      </c>
      <c r="C131" s="182" t="s">
        <v>25</v>
      </c>
      <c r="D131" s="182" t="s">
        <v>76</v>
      </c>
      <c r="E131" s="182" t="s">
        <v>69</v>
      </c>
      <c r="F131" s="182"/>
      <c r="G131" s="182" t="s">
        <v>297</v>
      </c>
      <c r="H131" s="182" t="s">
        <v>78</v>
      </c>
      <c r="I131" s="182" t="s">
        <v>44</v>
      </c>
      <c r="J131" s="182">
        <v>63</v>
      </c>
      <c r="K131" s="182">
        <v>199</v>
      </c>
      <c r="L131" s="182">
        <v>565</v>
      </c>
      <c r="M131" s="182">
        <v>366</v>
      </c>
      <c r="N131" s="289">
        <v>0.647787610619469</v>
      </c>
      <c r="O131" s="182">
        <v>100</v>
      </c>
      <c r="P131" s="257">
        <f t="shared" si="30"/>
        <v>6300</v>
      </c>
      <c r="Q131" s="272">
        <f t="shared" si="31"/>
        <v>0.176991150442478</v>
      </c>
      <c r="R131" s="273" t="str">
        <f>IFERROR(SUMIF(#REF!,$A131,#REF!),"")</f>
        <v/>
      </c>
      <c r="S131" s="274" t="e">
        <f t="shared" si="32"/>
        <v>#VALUE!</v>
      </c>
      <c r="T131" s="258" t="str">
        <f>IFERROR(VLOOKUP(A131,[2]商务费用支付申请!A:B,2,0),"")</f>
        <v/>
      </c>
      <c r="U131" s="229" t="e">
        <f t="shared" si="33"/>
        <v>#VALUE!</v>
      </c>
    </row>
    <row r="132" s="246" customFormat="1" customHeight="1" spans="1:21">
      <c r="A132" s="193">
        <v>20231105</v>
      </c>
      <c r="B132" s="182" t="s">
        <v>301</v>
      </c>
      <c r="C132" s="182" t="s">
        <v>25</v>
      </c>
      <c r="D132" s="182" t="s">
        <v>92</v>
      </c>
      <c r="E132" s="182" t="s">
        <v>93</v>
      </c>
      <c r="F132" s="182"/>
      <c r="G132" s="182" t="s">
        <v>303</v>
      </c>
      <c r="H132" s="182" t="s">
        <v>304</v>
      </c>
      <c r="I132" s="182" t="s">
        <v>44</v>
      </c>
      <c r="J132" s="182">
        <v>80</v>
      </c>
      <c r="K132" s="182">
        <v>513.27</v>
      </c>
      <c r="L132" s="182">
        <v>1814</v>
      </c>
      <c r="M132" s="182">
        <v>1300.73</v>
      </c>
      <c r="N132" s="289">
        <v>0.717050716648291</v>
      </c>
      <c r="O132" s="182">
        <v>400</v>
      </c>
      <c r="P132" s="257">
        <f t="shared" si="30"/>
        <v>32000</v>
      </c>
      <c r="Q132" s="272">
        <f t="shared" si="31"/>
        <v>0.220507166482911</v>
      </c>
      <c r="R132" s="273" t="str">
        <f>IFERROR(SUMIF(#REF!,$A132,#REF!),"")</f>
        <v/>
      </c>
      <c r="S132" s="274" t="e">
        <f t="shared" si="32"/>
        <v>#VALUE!</v>
      </c>
      <c r="T132" s="258" t="str">
        <f>IFERROR(VLOOKUP(A132,[2]商务费用支付申请!A:B,2,0),"")</f>
        <v/>
      </c>
      <c r="U132" s="229" t="e">
        <f t="shared" si="33"/>
        <v>#VALUE!</v>
      </c>
    </row>
    <row r="133" s="246" customFormat="1" customHeight="1" spans="1:21">
      <c r="A133" s="193">
        <v>20231106</v>
      </c>
      <c r="B133" s="182" t="s">
        <v>305</v>
      </c>
      <c r="C133" s="182" t="s">
        <v>25</v>
      </c>
      <c r="D133" s="182" t="s">
        <v>306</v>
      </c>
      <c r="E133" s="182" t="s">
        <v>73</v>
      </c>
      <c r="F133" s="182"/>
      <c r="G133" s="182" t="s">
        <v>297</v>
      </c>
      <c r="H133" s="182" t="s">
        <v>293</v>
      </c>
      <c r="I133" s="182" t="s">
        <v>294</v>
      </c>
      <c r="J133" s="182">
        <v>15</v>
      </c>
      <c r="K133" s="182">
        <v>710</v>
      </c>
      <c r="L133" s="182">
        <v>1693</v>
      </c>
      <c r="M133" s="182">
        <v>983</v>
      </c>
      <c r="N133" s="289">
        <v>0.580626107501477</v>
      </c>
      <c r="O133" s="182">
        <v>100</v>
      </c>
      <c r="P133" s="257">
        <f t="shared" si="30"/>
        <v>1500</v>
      </c>
      <c r="Q133" s="272">
        <f t="shared" si="31"/>
        <v>0.0590667454223272</v>
      </c>
      <c r="R133" s="273" t="str">
        <f>IFERROR(SUMIF(#REF!,$A133,#REF!),"")</f>
        <v/>
      </c>
      <c r="S133" s="274" t="e">
        <f t="shared" si="32"/>
        <v>#VALUE!</v>
      </c>
      <c r="T133" s="258" t="str">
        <f>IFERROR(VLOOKUP(A133,[2]商务费用支付申请!A:B,2,0),"")</f>
        <v/>
      </c>
      <c r="U133" s="229" t="e">
        <f t="shared" si="33"/>
        <v>#VALUE!</v>
      </c>
    </row>
    <row r="134" s="246" customFormat="1" customHeight="1" spans="1:21">
      <c r="A134" s="193">
        <v>20231107</v>
      </c>
      <c r="B134" s="182" t="s">
        <v>305</v>
      </c>
      <c r="C134" s="182" t="s">
        <v>25</v>
      </c>
      <c r="D134" s="182" t="s">
        <v>307</v>
      </c>
      <c r="E134" s="182" t="s">
        <v>73</v>
      </c>
      <c r="F134" s="182"/>
      <c r="G134" s="182" t="s">
        <v>297</v>
      </c>
      <c r="H134" s="182" t="s">
        <v>54</v>
      </c>
      <c r="I134" s="182" t="s">
        <v>55</v>
      </c>
      <c r="J134" s="182">
        <v>187</v>
      </c>
      <c r="K134" s="182">
        <v>3000</v>
      </c>
      <c r="L134" s="182">
        <v>4051</v>
      </c>
      <c r="M134" s="182">
        <v>1051</v>
      </c>
      <c r="N134" s="289">
        <v>0.259442113058504</v>
      </c>
      <c r="O134" s="182">
        <v>100</v>
      </c>
      <c r="P134" s="257">
        <f t="shared" si="30"/>
        <v>18700</v>
      </c>
      <c r="Q134" s="272">
        <f t="shared" si="31"/>
        <v>0.0246852628980499</v>
      </c>
      <c r="R134" s="273" t="str">
        <f>IFERROR(SUMIF(#REF!,$A134,#REF!),"")</f>
        <v/>
      </c>
      <c r="S134" s="274" t="e">
        <f t="shared" si="32"/>
        <v>#VALUE!</v>
      </c>
      <c r="T134" s="258" t="str">
        <f>IFERROR(VLOOKUP(A134,[2]商务费用支付申请!A:B,2,0),"")</f>
        <v/>
      </c>
      <c r="U134" s="229" t="e">
        <f t="shared" si="33"/>
        <v>#VALUE!</v>
      </c>
    </row>
    <row r="135" s="246" customFormat="1" customHeight="1" spans="1:21">
      <c r="A135" s="193">
        <v>20231108</v>
      </c>
      <c r="B135" s="182" t="s">
        <v>305</v>
      </c>
      <c r="C135" s="182" t="s">
        <v>25</v>
      </c>
      <c r="D135" s="182" t="s">
        <v>308</v>
      </c>
      <c r="E135" s="182" t="s">
        <v>309</v>
      </c>
      <c r="F135" s="182"/>
      <c r="G135" s="182" t="s">
        <v>297</v>
      </c>
      <c r="H135" s="182" t="s">
        <v>257</v>
      </c>
      <c r="I135" s="182" t="s">
        <v>189</v>
      </c>
      <c r="J135" s="182">
        <v>26</v>
      </c>
      <c r="K135" s="182">
        <v>1195</v>
      </c>
      <c r="L135" s="182">
        <v>1946</v>
      </c>
      <c r="M135" s="182">
        <v>751</v>
      </c>
      <c r="N135" s="289">
        <v>0.385919835560123</v>
      </c>
      <c r="O135" s="182">
        <v>100</v>
      </c>
      <c r="P135" s="257">
        <f t="shared" si="30"/>
        <v>2600</v>
      </c>
      <c r="Q135" s="272">
        <f t="shared" si="31"/>
        <v>0.0513874614594039</v>
      </c>
      <c r="R135" s="273" t="str">
        <f>IFERROR(SUMIF(#REF!,$A135,#REF!),"")</f>
        <v/>
      </c>
      <c r="S135" s="274" t="e">
        <f t="shared" si="32"/>
        <v>#VALUE!</v>
      </c>
      <c r="T135" s="258" t="str">
        <f>IFERROR(VLOOKUP(A135,[2]商务费用支付申请!A:B,2,0),"")</f>
        <v/>
      </c>
      <c r="U135" s="229" t="e">
        <f t="shared" si="33"/>
        <v>#VALUE!</v>
      </c>
    </row>
    <row r="136" s="246" customFormat="1" customHeight="1" spans="1:21">
      <c r="A136" s="193">
        <v>20231109</v>
      </c>
      <c r="B136" s="182" t="s">
        <v>305</v>
      </c>
      <c r="C136" s="182" t="s">
        <v>25</v>
      </c>
      <c r="D136" s="182" t="s">
        <v>308</v>
      </c>
      <c r="E136" s="182" t="s">
        <v>309</v>
      </c>
      <c r="F136" s="182"/>
      <c r="G136" s="182" t="s">
        <v>297</v>
      </c>
      <c r="H136" s="182" t="s">
        <v>310</v>
      </c>
      <c r="I136" s="182" t="s">
        <v>311</v>
      </c>
      <c r="J136" s="182">
        <v>8</v>
      </c>
      <c r="K136" s="182">
        <v>4005</v>
      </c>
      <c r="L136" s="182"/>
      <c r="M136" s="182"/>
      <c r="N136" s="289" t="s">
        <v>101</v>
      </c>
      <c r="O136" s="182">
        <v>100</v>
      </c>
      <c r="P136" s="257">
        <f t="shared" si="30"/>
        <v>800</v>
      </c>
      <c r="Q136" s="272" t="str">
        <f t="shared" si="31"/>
        <v/>
      </c>
      <c r="R136" s="273" t="str">
        <f>IFERROR(SUMIF(#REF!,$A136,#REF!),"")</f>
        <v/>
      </c>
      <c r="S136" s="274" t="e">
        <f t="shared" si="32"/>
        <v>#VALUE!</v>
      </c>
      <c r="T136" s="258" t="str">
        <f>IFERROR(VLOOKUP(A136,[2]商务费用支付申请!A:B,2,0),"")</f>
        <v/>
      </c>
      <c r="U136" s="229" t="e">
        <f t="shared" si="33"/>
        <v>#VALUE!</v>
      </c>
    </row>
    <row r="137" s="246" customFormat="1" customHeight="1" spans="1:21">
      <c r="A137" s="193">
        <v>20231110</v>
      </c>
      <c r="B137" s="182" t="s">
        <v>312</v>
      </c>
      <c r="C137" s="182" t="s">
        <v>25</v>
      </c>
      <c r="D137" s="182" t="s">
        <v>306</v>
      </c>
      <c r="E137" s="182" t="s">
        <v>73</v>
      </c>
      <c r="F137" s="182"/>
      <c r="G137" s="182" t="s">
        <v>297</v>
      </c>
      <c r="H137" s="182" t="s">
        <v>293</v>
      </c>
      <c r="I137" s="182" t="s">
        <v>294</v>
      </c>
      <c r="J137" s="182">
        <v>85</v>
      </c>
      <c r="K137" s="182">
        <v>840</v>
      </c>
      <c r="L137" s="182">
        <v>1693</v>
      </c>
      <c r="M137" s="182">
        <v>850</v>
      </c>
      <c r="N137" s="289">
        <v>0.502067336089781</v>
      </c>
      <c r="O137" s="182">
        <v>100</v>
      </c>
      <c r="P137" s="257">
        <f t="shared" si="30"/>
        <v>8500</v>
      </c>
      <c r="Q137" s="272">
        <f t="shared" si="31"/>
        <v>0.0590667454223272</v>
      </c>
      <c r="R137" s="273" t="str">
        <f>IFERROR(SUMIF(#REF!,$A137,#REF!),"")</f>
        <v/>
      </c>
      <c r="S137" s="274" t="e">
        <f t="shared" si="32"/>
        <v>#VALUE!</v>
      </c>
      <c r="T137" s="258" t="str">
        <f>IFERROR(VLOOKUP(A137,[2]商务费用支付申请!A:B,2,0),"")</f>
        <v/>
      </c>
      <c r="U137" s="229" t="e">
        <f t="shared" si="33"/>
        <v>#VALUE!</v>
      </c>
    </row>
    <row r="138" s="246" customFormat="1" customHeight="1" spans="1:21">
      <c r="A138" s="193">
        <v>20231111</v>
      </c>
      <c r="B138" s="182" t="s">
        <v>312</v>
      </c>
      <c r="C138" s="182" t="s">
        <v>25</v>
      </c>
      <c r="D138" s="182" t="s">
        <v>260</v>
      </c>
      <c r="E138" s="182" t="s">
        <v>313</v>
      </c>
      <c r="F138" s="182"/>
      <c r="G138" s="182" t="s">
        <v>297</v>
      </c>
      <c r="H138" s="182" t="s">
        <v>314</v>
      </c>
      <c r="I138" s="182" t="s">
        <v>314</v>
      </c>
      <c r="J138" s="182">
        <v>5</v>
      </c>
      <c r="K138" s="182">
        <v>3185</v>
      </c>
      <c r="L138" s="182">
        <v>3893</v>
      </c>
      <c r="M138" s="182">
        <v>708</v>
      </c>
      <c r="N138" s="289">
        <v>0.181864885692268</v>
      </c>
      <c r="O138" s="182">
        <v>500</v>
      </c>
      <c r="P138" s="257">
        <f t="shared" si="30"/>
        <v>2500</v>
      </c>
      <c r="Q138" s="272">
        <f t="shared" si="31"/>
        <v>0.128435653737478</v>
      </c>
      <c r="R138" s="273" t="str">
        <f>IFERROR(SUMIF(#REF!,$A138,#REF!),"")</f>
        <v/>
      </c>
      <c r="S138" s="274" t="e">
        <f t="shared" si="32"/>
        <v>#VALUE!</v>
      </c>
      <c r="T138" s="258" t="str">
        <f>IFERROR(VLOOKUP(A138,[2]商务费用支付申请!A:B,2,0),"")</f>
        <v/>
      </c>
      <c r="U138" s="229" t="e">
        <f t="shared" si="33"/>
        <v>#VALUE!</v>
      </c>
    </row>
    <row r="139" s="246" customFormat="1" customHeight="1" spans="1:21">
      <c r="A139" s="193">
        <v>20231112</v>
      </c>
      <c r="B139" s="182" t="s">
        <v>315</v>
      </c>
      <c r="C139" s="182" t="s">
        <v>25</v>
      </c>
      <c r="D139" s="182" t="s">
        <v>308</v>
      </c>
      <c r="E139" s="182" t="s">
        <v>309</v>
      </c>
      <c r="F139" s="182"/>
      <c r="G139" s="182" t="s">
        <v>316</v>
      </c>
      <c r="H139" s="182" t="s">
        <v>257</v>
      </c>
      <c r="I139" s="182" t="s">
        <v>189</v>
      </c>
      <c r="J139" s="182">
        <v>40</v>
      </c>
      <c r="K139" s="182">
        <v>1195</v>
      </c>
      <c r="L139" s="182">
        <v>1946</v>
      </c>
      <c r="M139" s="182">
        <v>751</v>
      </c>
      <c r="N139" s="289">
        <v>0.385919835560123</v>
      </c>
      <c r="O139" s="182">
        <v>100</v>
      </c>
      <c r="P139" s="257">
        <f t="shared" si="30"/>
        <v>4000</v>
      </c>
      <c r="Q139" s="272">
        <f t="shared" si="31"/>
        <v>0.0513874614594039</v>
      </c>
      <c r="R139" s="273" t="str">
        <f>IFERROR(SUMIF(#REF!,$A139,#REF!),"")</f>
        <v/>
      </c>
      <c r="S139" s="274" t="e">
        <f t="shared" si="32"/>
        <v>#VALUE!</v>
      </c>
      <c r="T139" s="258" t="str">
        <f>IFERROR(VLOOKUP(A139,[2]商务费用支付申请!A:B,2,0),"")</f>
        <v/>
      </c>
      <c r="U139" s="229" t="e">
        <f t="shared" si="33"/>
        <v>#VALUE!</v>
      </c>
    </row>
    <row r="140" s="246" customFormat="1" customHeight="1" spans="1:21">
      <c r="A140" s="193">
        <v>20231113</v>
      </c>
      <c r="B140" s="182" t="s">
        <v>315</v>
      </c>
      <c r="C140" s="182" t="s">
        <v>25</v>
      </c>
      <c r="D140" s="182" t="s">
        <v>308</v>
      </c>
      <c r="E140" s="182" t="s">
        <v>309</v>
      </c>
      <c r="F140" s="182"/>
      <c r="G140" s="182" t="s">
        <v>316</v>
      </c>
      <c r="H140" s="182" t="s">
        <v>317</v>
      </c>
      <c r="I140" s="182"/>
      <c r="J140" s="182">
        <v>20</v>
      </c>
      <c r="K140" s="182"/>
      <c r="L140" s="182"/>
      <c r="M140" s="182"/>
      <c r="N140" s="289" t="s">
        <v>101</v>
      </c>
      <c r="O140" s="182">
        <v>100</v>
      </c>
      <c r="P140" s="257">
        <f t="shared" si="30"/>
        <v>2000</v>
      </c>
      <c r="Q140" s="272" t="str">
        <f t="shared" si="31"/>
        <v/>
      </c>
      <c r="R140" s="273" t="str">
        <f>IFERROR(SUMIF(#REF!,$A140,#REF!),"")</f>
        <v/>
      </c>
      <c r="S140" s="274" t="e">
        <f t="shared" si="32"/>
        <v>#VALUE!</v>
      </c>
      <c r="T140" s="258" t="str">
        <f>IFERROR(VLOOKUP(A140,[2]商务费用支付申请!A:B,2,0),"")</f>
        <v/>
      </c>
      <c r="U140" s="229" t="e">
        <f t="shared" si="33"/>
        <v>#VALUE!</v>
      </c>
    </row>
    <row r="141" s="246" customFormat="1" customHeight="1" spans="1:21">
      <c r="A141" s="193">
        <v>20231114</v>
      </c>
      <c r="B141" s="182" t="s">
        <v>315</v>
      </c>
      <c r="C141" s="182" t="s">
        <v>25</v>
      </c>
      <c r="D141" s="182" t="s">
        <v>76</v>
      </c>
      <c r="E141" s="182" t="s">
        <v>59</v>
      </c>
      <c r="F141" s="182"/>
      <c r="G141" s="182" t="s">
        <v>316</v>
      </c>
      <c r="H141" s="182" t="s">
        <v>257</v>
      </c>
      <c r="I141" s="182" t="s">
        <v>189</v>
      </c>
      <c r="J141" s="182">
        <v>20</v>
      </c>
      <c r="K141" s="182">
        <v>1195</v>
      </c>
      <c r="L141" s="182">
        <v>1946</v>
      </c>
      <c r="M141" s="182">
        <v>751</v>
      </c>
      <c r="N141" s="289">
        <v>0.385919835560123</v>
      </c>
      <c r="O141" s="182">
        <v>100</v>
      </c>
      <c r="P141" s="257">
        <f t="shared" si="30"/>
        <v>2000</v>
      </c>
      <c r="Q141" s="272">
        <f t="shared" si="31"/>
        <v>0.0513874614594039</v>
      </c>
      <c r="R141" s="273" t="str">
        <f>IFERROR(SUMIF(#REF!,$A141,#REF!),"")</f>
        <v/>
      </c>
      <c r="S141" s="274" t="e">
        <f t="shared" si="32"/>
        <v>#VALUE!</v>
      </c>
      <c r="T141" s="258" t="str">
        <f>IFERROR(VLOOKUP(A141,[2]商务费用支付申请!A:B,2,0),"")</f>
        <v/>
      </c>
      <c r="U141" s="229" t="e">
        <f t="shared" si="33"/>
        <v>#VALUE!</v>
      </c>
    </row>
    <row r="142" s="246" customFormat="1" customHeight="1" spans="1:21">
      <c r="A142" s="193">
        <v>20231115</v>
      </c>
      <c r="B142" s="182" t="s">
        <v>315</v>
      </c>
      <c r="C142" s="182" t="s">
        <v>25</v>
      </c>
      <c r="D142" s="182" t="s">
        <v>318</v>
      </c>
      <c r="E142" s="182" t="s">
        <v>319</v>
      </c>
      <c r="F142" s="182"/>
      <c r="G142" s="182" t="s">
        <v>297</v>
      </c>
      <c r="H142" s="182" t="s">
        <v>293</v>
      </c>
      <c r="I142" s="182" t="s">
        <v>320</v>
      </c>
      <c r="J142" s="182">
        <v>20</v>
      </c>
      <c r="K142" s="182">
        <v>557.52</v>
      </c>
      <c r="L142" s="182">
        <v>2059</v>
      </c>
      <c r="M142" s="182">
        <v>1501.48</v>
      </c>
      <c r="N142" s="289">
        <v>0.729227780475959</v>
      </c>
      <c r="O142" s="182">
        <v>100</v>
      </c>
      <c r="P142" s="257">
        <f t="shared" si="30"/>
        <v>2000</v>
      </c>
      <c r="Q142" s="272">
        <f t="shared" si="31"/>
        <v>0.0485672656629432</v>
      </c>
      <c r="R142" s="273" t="str">
        <f>IFERROR(SUMIF(#REF!,$A142,#REF!),"")</f>
        <v/>
      </c>
      <c r="S142" s="274" t="e">
        <f t="shared" si="32"/>
        <v>#VALUE!</v>
      </c>
      <c r="T142" s="258" t="str">
        <f>IFERROR(VLOOKUP(A142,[2]商务费用支付申请!A:B,2,0),"")</f>
        <v/>
      </c>
      <c r="U142" s="229" t="e">
        <f t="shared" si="33"/>
        <v>#VALUE!</v>
      </c>
    </row>
    <row r="143" s="246" customFormat="1" customHeight="1" spans="1:21">
      <c r="A143" s="193">
        <v>20231116</v>
      </c>
      <c r="B143" s="182" t="s">
        <v>315</v>
      </c>
      <c r="C143" s="182" t="s">
        <v>25</v>
      </c>
      <c r="D143" s="182" t="s">
        <v>318</v>
      </c>
      <c r="E143" s="182" t="s">
        <v>319</v>
      </c>
      <c r="F143" s="182"/>
      <c r="G143" s="182" t="s">
        <v>297</v>
      </c>
      <c r="H143" s="182" t="s">
        <v>293</v>
      </c>
      <c r="I143" s="182"/>
      <c r="J143" s="182">
        <v>70</v>
      </c>
      <c r="K143" s="182">
        <v>840</v>
      </c>
      <c r="L143" s="182">
        <v>1693</v>
      </c>
      <c r="M143" s="182">
        <v>850</v>
      </c>
      <c r="N143" s="289">
        <v>0.502067336089781</v>
      </c>
      <c r="O143" s="182">
        <v>100</v>
      </c>
      <c r="P143" s="257">
        <f t="shared" si="30"/>
        <v>7000</v>
      </c>
      <c r="Q143" s="272">
        <f t="shared" si="31"/>
        <v>0.0590667454223272</v>
      </c>
      <c r="R143" s="273" t="str">
        <f>IFERROR(SUMIF(#REF!,$A143,#REF!),"")</f>
        <v/>
      </c>
      <c r="S143" s="274" t="e">
        <f t="shared" si="32"/>
        <v>#VALUE!</v>
      </c>
      <c r="T143" s="258" t="str">
        <f>IFERROR(VLOOKUP(A143,[2]商务费用支付申请!A:B,2,0),"")</f>
        <v/>
      </c>
      <c r="U143" s="229" t="e">
        <f t="shared" si="33"/>
        <v>#VALUE!</v>
      </c>
    </row>
    <row r="144" s="246" customFormat="1" customHeight="1" spans="1:21">
      <c r="A144" s="193">
        <v>20231117</v>
      </c>
      <c r="B144" s="182" t="s">
        <v>315</v>
      </c>
      <c r="C144" s="182" t="s">
        <v>25</v>
      </c>
      <c r="D144" s="182" t="s">
        <v>318</v>
      </c>
      <c r="E144" s="182" t="s">
        <v>319</v>
      </c>
      <c r="F144" s="182"/>
      <c r="G144" s="182" t="s">
        <v>321</v>
      </c>
      <c r="H144" s="182" t="s">
        <v>251</v>
      </c>
      <c r="I144" s="182" t="s">
        <v>302</v>
      </c>
      <c r="J144" s="182">
        <v>10</v>
      </c>
      <c r="K144" s="182">
        <v>1934</v>
      </c>
      <c r="L144" s="182">
        <v>3265</v>
      </c>
      <c r="M144" s="182">
        <v>1331</v>
      </c>
      <c r="N144" s="289">
        <v>0.407656967840735</v>
      </c>
      <c r="O144" s="182">
        <v>100</v>
      </c>
      <c r="P144" s="257">
        <f t="shared" si="30"/>
        <v>1000</v>
      </c>
      <c r="Q144" s="272">
        <f t="shared" si="31"/>
        <v>0.0306278713629403</v>
      </c>
      <c r="R144" s="273" t="str">
        <f>IFERROR(SUMIF(#REF!,$A144,#REF!),"")</f>
        <v/>
      </c>
      <c r="S144" s="274" t="e">
        <f t="shared" si="32"/>
        <v>#VALUE!</v>
      </c>
      <c r="T144" s="258" t="str">
        <f>IFERROR(VLOOKUP(A144,[2]商务费用支付申请!A:B,2,0),"")</f>
        <v/>
      </c>
      <c r="U144" s="229" t="e">
        <f t="shared" si="33"/>
        <v>#VALUE!</v>
      </c>
    </row>
    <row r="145" s="246" customFormat="1" customHeight="1" spans="1:21">
      <c r="A145" s="193">
        <v>20231118</v>
      </c>
      <c r="B145" s="182" t="s">
        <v>315</v>
      </c>
      <c r="C145" s="182" t="s">
        <v>25</v>
      </c>
      <c r="D145" s="182" t="s">
        <v>318</v>
      </c>
      <c r="E145" s="182" t="s">
        <v>319</v>
      </c>
      <c r="F145" s="182"/>
      <c r="G145" s="182" t="s">
        <v>321</v>
      </c>
      <c r="H145" s="182" t="s">
        <v>322</v>
      </c>
      <c r="I145" s="182"/>
      <c r="J145" s="182">
        <v>10</v>
      </c>
      <c r="K145" s="182">
        <v>2885</v>
      </c>
      <c r="L145" s="182">
        <v>4121</v>
      </c>
      <c r="M145" s="182">
        <v>1236</v>
      </c>
      <c r="N145" s="289">
        <v>0.299927202135404</v>
      </c>
      <c r="O145" s="182">
        <v>200</v>
      </c>
      <c r="P145" s="257">
        <f t="shared" si="30"/>
        <v>2000</v>
      </c>
      <c r="Q145" s="272">
        <f t="shared" si="31"/>
        <v>0.0485319097306479</v>
      </c>
      <c r="R145" s="273" t="str">
        <f>IFERROR(SUMIF(#REF!,$A145,#REF!),"")</f>
        <v/>
      </c>
      <c r="S145" s="274" t="e">
        <f t="shared" si="32"/>
        <v>#VALUE!</v>
      </c>
      <c r="T145" s="258" t="str">
        <f>IFERROR(VLOOKUP(A145,[2]商务费用支付申请!A:B,2,0),"")</f>
        <v/>
      </c>
      <c r="U145" s="229" t="e">
        <f t="shared" si="33"/>
        <v>#VALUE!</v>
      </c>
    </row>
    <row r="146" s="246" customFormat="1" customHeight="1" spans="1:21">
      <c r="A146" s="193">
        <v>20231119</v>
      </c>
      <c r="B146" s="182" t="s">
        <v>315</v>
      </c>
      <c r="C146" s="182" t="s">
        <v>25</v>
      </c>
      <c r="D146" s="182" t="s">
        <v>318</v>
      </c>
      <c r="E146" s="182" t="s">
        <v>319</v>
      </c>
      <c r="F146" s="182"/>
      <c r="G146" s="182" t="s">
        <v>321</v>
      </c>
      <c r="H146" s="182" t="s">
        <v>323</v>
      </c>
      <c r="I146" s="182"/>
      <c r="J146" s="182">
        <v>30</v>
      </c>
      <c r="K146" s="182">
        <v>1815</v>
      </c>
      <c r="L146" s="182">
        <v>2611</v>
      </c>
      <c r="M146" s="182">
        <v>796</v>
      </c>
      <c r="N146" s="289">
        <v>0.304864036767522</v>
      </c>
      <c r="O146" s="182">
        <v>150</v>
      </c>
      <c r="P146" s="257">
        <f t="shared" si="30"/>
        <v>4500</v>
      </c>
      <c r="Q146" s="272">
        <f t="shared" si="31"/>
        <v>0.0574492531597089</v>
      </c>
      <c r="R146" s="273" t="str">
        <f>IFERROR(SUMIF(#REF!,$A146,#REF!),"")</f>
        <v/>
      </c>
      <c r="S146" s="274" t="e">
        <f t="shared" si="32"/>
        <v>#VALUE!</v>
      </c>
      <c r="T146" s="258" t="str">
        <f>IFERROR(VLOOKUP(A146,[2]商务费用支付申请!A:B,2,0),"")</f>
        <v/>
      </c>
      <c r="U146" s="229" t="e">
        <f t="shared" si="33"/>
        <v>#VALUE!</v>
      </c>
    </row>
    <row r="147" s="246" customFormat="1" customHeight="1" spans="1:21">
      <c r="A147" s="193">
        <v>20231120</v>
      </c>
      <c r="B147" s="182" t="s">
        <v>315</v>
      </c>
      <c r="C147" s="182" t="s">
        <v>25</v>
      </c>
      <c r="D147" s="182" t="s">
        <v>190</v>
      </c>
      <c r="E147" s="182" t="s">
        <v>191</v>
      </c>
      <c r="F147" s="182"/>
      <c r="G147" s="182" t="s">
        <v>324</v>
      </c>
      <c r="H147" s="182" t="s">
        <v>293</v>
      </c>
      <c r="I147" s="182" t="s">
        <v>294</v>
      </c>
      <c r="J147" s="182">
        <v>20</v>
      </c>
      <c r="K147" s="182">
        <v>840</v>
      </c>
      <c r="L147" s="182">
        <v>1693</v>
      </c>
      <c r="M147" s="182">
        <v>850</v>
      </c>
      <c r="N147" s="289">
        <v>0.502067336089781</v>
      </c>
      <c r="O147" s="182">
        <v>100</v>
      </c>
      <c r="P147" s="257">
        <f t="shared" si="30"/>
        <v>2000</v>
      </c>
      <c r="Q147" s="272">
        <f t="shared" si="31"/>
        <v>0.0590667454223272</v>
      </c>
      <c r="R147" s="273" t="str">
        <f>IFERROR(SUMIF(#REF!,$A147,#REF!),"")</f>
        <v/>
      </c>
      <c r="S147" s="274" t="e">
        <f t="shared" si="32"/>
        <v>#VALUE!</v>
      </c>
      <c r="T147" s="258" t="str">
        <f>IFERROR(VLOOKUP(A147,[2]商务费用支付申请!A:B,2,0),"")</f>
        <v/>
      </c>
      <c r="U147" s="229" t="e">
        <f t="shared" si="33"/>
        <v>#VALUE!</v>
      </c>
    </row>
    <row r="148" s="246" customFormat="1" customHeight="1" spans="1:22">
      <c r="A148" s="193">
        <v>20231121</v>
      </c>
      <c r="B148" s="182" t="s">
        <v>315</v>
      </c>
      <c r="C148" s="182" t="s">
        <v>25</v>
      </c>
      <c r="D148" s="291" t="s">
        <v>325</v>
      </c>
      <c r="E148" s="182" t="s">
        <v>69</v>
      </c>
      <c r="F148" s="182"/>
      <c r="G148" s="182" t="s">
        <v>259</v>
      </c>
      <c r="H148" s="182" t="s">
        <v>70</v>
      </c>
      <c r="I148" s="182" t="s">
        <v>70</v>
      </c>
      <c r="J148" s="182">
        <v>20</v>
      </c>
      <c r="K148" s="182">
        <v>557.52</v>
      </c>
      <c r="L148" s="182">
        <v>2059</v>
      </c>
      <c r="M148" s="182">
        <f t="shared" ref="M148:M151" si="34">L148-K148</f>
        <v>1501.48</v>
      </c>
      <c r="N148" s="289">
        <f t="shared" ref="N148:N151" si="35">IF(AND($M148&lt;&gt;0,$L148&lt;&gt;0),$M148/$L148,"")</f>
        <v>0.729227780475959</v>
      </c>
      <c r="O148" s="182">
        <v>100</v>
      </c>
      <c r="P148" s="257">
        <f t="shared" si="30"/>
        <v>2000</v>
      </c>
      <c r="Q148" s="272">
        <f t="shared" si="31"/>
        <v>0.0485672656629432</v>
      </c>
      <c r="R148" s="273" t="str">
        <f>IFERROR(SUMIF(#REF!,$A148,#REF!),"")</f>
        <v/>
      </c>
      <c r="S148" s="274" t="e">
        <f t="shared" si="32"/>
        <v>#VALUE!</v>
      </c>
      <c r="T148" s="258" t="str">
        <f>IFERROR(VLOOKUP(A148,[2]商务费用支付申请!A:B,2,0),"")</f>
        <v/>
      </c>
      <c r="U148" s="229" t="e">
        <f t="shared" si="33"/>
        <v>#VALUE!</v>
      </c>
      <c r="V148"/>
    </row>
    <row r="149" s="246" customFormat="1" customHeight="1" spans="1:25">
      <c r="A149" s="193">
        <v>20231122</v>
      </c>
      <c r="B149" s="182" t="s">
        <v>180</v>
      </c>
      <c r="C149" s="182" t="s">
        <v>98</v>
      </c>
      <c r="D149" s="291" t="s">
        <v>152</v>
      </c>
      <c r="E149" s="182" t="s">
        <v>153</v>
      </c>
      <c r="F149" s="182"/>
      <c r="G149" s="182"/>
      <c r="H149" s="182" t="s">
        <v>29</v>
      </c>
      <c r="I149" s="182" t="s">
        <v>326</v>
      </c>
      <c r="J149" s="182">
        <v>5</v>
      </c>
      <c r="K149" s="182">
        <v>4828</v>
      </c>
      <c r="L149" s="182">
        <v>5595</v>
      </c>
      <c r="M149" s="182">
        <f t="shared" si="34"/>
        <v>767</v>
      </c>
      <c r="N149" s="289">
        <f t="shared" si="35"/>
        <v>0.137086684539768</v>
      </c>
      <c r="O149" s="182">
        <v>100</v>
      </c>
      <c r="P149" s="257">
        <f t="shared" ref="P149:P157" si="36">O149*J149</f>
        <v>500</v>
      </c>
      <c r="Q149" s="272">
        <f t="shared" ref="Q149:Q158" si="37">IF(AND($O149&lt;&gt;0,$L149&lt;&gt;0),$O149/$L149,"")</f>
        <v>0.0178731009830206</v>
      </c>
      <c r="R149" s="273" t="str">
        <f>IFERROR(SUMIF(#REF!,$A149,#REF!),"")</f>
        <v/>
      </c>
      <c r="S149" s="274" t="e">
        <f t="shared" ref="S149:S158" si="38">IF(AND(($M149*$J149-$R149)&lt;&gt;0,($L149*$J149)&lt;&gt;0),($M149*$J149-$R149)/($L149*$J149),"")</f>
        <v>#VALUE!</v>
      </c>
      <c r="T149" s="258">
        <v>5911854179</v>
      </c>
      <c r="U149" s="229"/>
      <c r="V149"/>
      <c r="Y149"/>
    </row>
    <row r="150" s="246" customFormat="1" customHeight="1" spans="1:25">
      <c r="A150" s="193">
        <v>20231123</v>
      </c>
      <c r="B150" s="182" t="s">
        <v>327</v>
      </c>
      <c r="C150" s="182" t="s">
        <v>98</v>
      </c>
      <c r="D150" s="291" t="s">
        <v>173</v>
      </c>
      <c r="E150" s="182" t="s">
        <v>174</v>
      </c>
      <c r="F150" s="182"/>
      <c r="G150" s="182"/>
      <c r="H150" s="182"/>
      <c r="I150" s="182" t="s">
        <v>328</v>
      </c>
      <c r="J150" s="182">
        <v>60</v>
      </c>
      <c r="K150" s="182">
        <v>2654</v>
      </c>
      <c r="L150" s="182">
        <v>3585</v>
      </c>
      <c r="M150" s="182">
        <f t="shared" si="34"/>
        <v>931</v>
      </c>
      <c r="N150" s="289">
        <f t="shared" si="35"/>
        <v>0.259693165969317</v>
      </c>
      <c r="O150" s="182">
        <v>50</v>
      </c>
      <c r="P150" s="257">
        <f t="shared" si="36"/>
        <v>3000</v>
      </c>
      <c r="Q150" s="272">
        <f t="shared" si="37"/>
        <v>0.0139470013947001</v>
      </c>
      <c r="R150" s="273" t="str">
        <f>IFERROR(SUMIF(#REF!,$A150,#REF!),"")</f>
        <v/>
      </c>
      <c r="S150" s="274" t="e">
        <f t="shared" si="38"/>
        <v>#VALUE!</v>
      </c>
      <c r="T150" s="258">
        <v>4100162706</v>
      </c>
      <c r="U150" s="229"/>
      <c r="V150"/>
      <c r="Y150">
        <f t="shared" ref="Y150:Y158" si="39">O150*J150</f>
        <v>3000</v>
      </c>
    </row>
    <row r="151" s="246" customFormat="1" customHeight="1" spans="1:25">
      <c r="A151" s="193">
        <v>20231124</v>
      </c>
      <c r="B151" s="182" t="s">
        <v>329</v>
      </c>
      <c r="C151" s="182" t="s">
        <v>98</v>
      </c>
      <c r="D151" s="291" t="s">
        <v>173</v>
      </c>
      <c r="E151" s="182" t="s">
        <v>174</v>
      </c>
      <c r="F151" s="182"/>
      <c r="G151" s="182"/>
      <c r="H151" s="182"/>
      <c r="I151" s="182" t="s">
        <v>328</v>
      </c>
      <c r="J151" s="182">
        <v>36</v>
      </c>
      <c r="K151" s="182">
        <v>2654</v>
      </c>
      <c r="L151" s="182">
        <v>3585</v>
      </c>
      <c r="M151" s="182">
        <f t="shared" si="34"/>
        <v>931</v>
      </c>
      <c r="N151" s="289">
        <f t="shared" si="35"/>
        <v>0.259693165969317</v>
      </c>
      <c r="O151" s="182">
        <v>50</v>
      </c>
      <c r="P151" s="257">
        <f t="shared" si="36"/>
        <v>1800</v>
      </c>
      <c r="Q151" s="272">
        <f t="shared" si="37"/>
        <v>0.0139470013947001</v>
      </c>
      <c r="R151" s="273" t="str">
        <f>IFERROR(SUMIF(#REF!,$A151,#REF!),"")</f>
        <v/>
      </c>
      <c r="S151" s="274" t="e">
        <f t="shared" si="38"/>
        <v>#VALUE!</v>
      </c>
      <c r="T151" s="258">
        <v>4100168828</v>
      </c>
      <c r="U151" s="229"/>
      <c r="V151"/>
      <c r="Y151">
        <f t="shared" si="39"/>
        <v>1800</v>
      </c>
    </row>
    <row r="152" s="246" customFormat="1" customHeight="1" spans="1:25">
      <c r="A152" s="193">
        <v>20231125</v>
      </c>
      <c r="B152" s="182" t="s">
        <v>266</v>
      </c>
      <c r="C152" s="182" t="s">
        <v>98</v>
      </c>
      <c r="D152" s="291" t="s">
        <v>330</v>
      </c>
      <c r="E152" s="182" t="s">
        <v>331</v>
      </c>
      <c r="F152" s="182"/>
      <c r="G152" s="182"/>
      <c r="H152" s="182"/>
      <c r="I152" s="182" t="s">
        <v>328</v>
      </c>
      <c r="J152" s="182">
        <v>100</v>
      </c>
      <c r="K152" s="182">
        <v>2654</v>
      </c>
      <c r="L152" s="182">
        <v>3585</v>
      </c>
      <c r="M152" s="182">
        <v>931</v>
      </c>
      <c r="N152" s="289">
        <v>0.259693165969317</v>
      </c>
      <c r="O152" s="182">
        <v>50</v>
      </c>
      <c r="P152" s="257">
        <f t="shared" si="36"/>
        <v>5000</v>
      </c>
      <c r="Q152" s="272">
        <f t="shared" si="37"/>
        <v>0.0139470013947001</v>
      </c>
      <c r="R152" s="273" t="str">
        <f>IFERROR(SUMIF(#REF!,$A152,#REF!),"")</f>
        <v/>
      </c>
      <c r="S152" s="274" t="e">
        <f t="shared" si="38"/>
        <v>#VALUE!</v>
      </c>
      <c r="T152" s="258"/>
      <c r="U152" s="229"/>
      <c r="V152"/>
      <c r="Y152">
        <f t="shared" si="39"/>
        <v>5000</v>
      </c>
    </row>
    <row r="153" s="246" customFormat="1" customHeight="1" spans="1:25">
      <c r="A153" s="193">
        <v>20231126</v>
      </c>
      <c r="B153" s="182" t="s">
        <v>329</v>
      </c>
      <c r="C153" s="182" t="s">
        <v>98</v>
      </c>
      <c r="D153" s="291" t="s">
        <v>332</v>
      </c>
      <c r="E153" s="182" t="s">
        <v>333</v>
      </c>
      <c r="F153" s="182"/>
      <c r="G153" s="182"/>
      <c r="H153" s="182" t="s">
        <v>29</v>
      </c>
      <c r="I153" s="182" t="s">
        <v>334</v>
      </c>
      <c r="J153" s="182">
        <v>19</v>
      </c>
      <c r="K153" s="182">
        <v>3887</v>
      </c>
      <c r="L153" s="182">
        <v>4745</v>
      </c>
      <c r="M153" s="182">
        <v>858</v>
      </c>
      <c r="N153" s="289">
        <v>0.180821917808219</v>
      </c>
      <c r="O153" s="182">
        <v>80</v>
      </c>
      <c r="P153" s="257">
        <f t="shared" si="36"/>
        <v>1520</v>
      </c>
      <c r="Q153" s="272">
        <f t="shared" si="37"/>
        <v>0.0168598524762908</v>
      </c>
      <c r="R153" s="273" t="str">
        <f>IFERROR(SUMIF(#REF!,$A153,#REF!),"")</f>
        <v/>
      </c>
      <c r="S153" s="274" t="e">
        <f t="shared" si="38"/>
        <v>#VALUE!</v>
      </c>
      <c r="T153" s="258"/>
      <c r="U153" s="229"/>
      <c r="V153"/>
      <c r="Y153">
        <f t="shared" si="39"/>
        <v>1520</v>
      </c>
    </row>
    <row r="154" s="246" customFormat="1" customHeight="1" spans="1:25">
      <c r="A154" s="193">
        <v>20231127</v>
      </c>
      <c r="B154" s="182" t="s">
        <v>329</v>
      </c>
      <c r="C154" s="182" t="s">
        <v>98</v>
      </c>
      <c r="D154" s="291" t="s">
        <v>332</v>
      </c>
      <c r="E154" s="182" t="s">
        <v>333</v>
      </c>
      <c r="F154" s="182"/>
      <c r="G154" s="182"/>
      <c r="H154" s="182" t="s">
        <v>335</v>
      </c>
      <c r="I154" s="182" t="s">
        <v>336</v>
      </c>
      <c r="J154" s="182">
        <v>5</v>
      </c>
      <c r="K154" s="182"/>
      <c r="L154" s="182"/>
      <c r="M154" s="182"/>
      <c r="N154" s="289"/>
      <c r="O154" s="182">
        <v>200</v>
      </c>
      <c r="P154" s="257">
        <f t="shared" si="36"/>
        <v>1000</v>
      </c>
      <c r="Q154" s="272" t="str">
        <f t="shared" si="37"/>
        <v/>
      </c>
      <c r="R154" s="273" t="str">
        <f>IFERROR(SUMIF(#REF!,$A154,#REF!),"")</f>
        <v/>
      </c>
      <c r="S154" s="274" t="e">
        <f t="shared" si="38"/>
        <v>#VALUE!</v>
      </c>
      <c r="T154" s="258"/>
      <c r="U154" s="229"/>
      <c r="V154"/>
      <c r="Y154">
        <f t="shared" si="39"/>
        <v>1000</v>
      </c>
    </row>
    <row r="155" s="246" customFormat="1" customHeight="1" spans="1:25">
      <c r="A155" s="193">
        <v>20231128</v>
      </c>
      <c r="B155" s="182" t="s">
        <v>337</v>
      </c>
      <c r="C155" s="182" t="s">
        <v>98</v>
      </c>
      <c r="D155" s="291" t="s">
        <v>338</v>
      </c>
      <c r="E155" s="182" t="s">
        <v>339</v>
      </c>
      <c r="F155" s="182"/>
      <c r="G155" s="182"/>
      <c r="H155" s="182" t="s">
        <v>29</v>
      </c>
      <c r="I155" s="182" t="s">
        <v>340</v>
      </c>
      <c r="J155" s="182">
        <v>1</v>
      </c>
      <c r="K155" s="182"/>
      <c r="L155" s="182"/>
      <c r="M155" s="182"/>
      <c r="N155" s="289" t="s">
        <v>101</v>
      </c>
      <c r="O155" s="182"/>
      <c r="P155" s="257">
        <f t="shared" si="36"/>
        <v>0</v>
      </c>
      <c r="Q155" s="272" t="str">
        <f t="shared" si="37"/>
        <v/>
      </c>
      <c r="R155" s="273" t="str">
        <f>IFERROR(SUMIF(#REF!,$A155,#REF!),"")</f>
        <v/>
      </c>
      <c r="S155" s="274" t="e">
        <f t="shared" si="38"/>
        <v>#VALUE!</v>
      </c>
      <c r="T155" s="258" t="s">
        <v>341</v>
      </c>
      <c r="U155" s="229"/>
      <c r="V155"/>
      <c r="Y155">
        <f t="shared" si="39"/>
        <v>0</v>
      </c>
    </row>
    <row r="156" s="246" customFormat="1" customHeight="1" spans="1:25">
      <c r="A156" s="193">
        <v>20231129</v>
      </c>
      <c r="B156" s="182" t="s">
        <v>337</v>
      </c>
      <c r="C156" s="182" t="s">
        <v>98</v>
      </c>
      <c r="D156" s="291" t="s">
        <v>342</v>
      </c>
      <c r="E156" s="182" t="s">
        <v>343</v>
      </c>
      <c r="F156" s="182"/>
      <c r="G156" s="182"/>
      <c r="H156" s="182" t="s">
        <v>139</v>
      </c>
      <c r="I156" s="182" t="s">
        <v>344</v>
      </c>
      <c r="J156" s="182"/>
      <c r="K156" s="182"/>
      <c r="L156" s="182"/>
      <c r="M156" s="182"/>
      <c r="N156" s="289" t="s">
        <v>101</v>
      </c>
      <c r="O156" s="182"/>
      <c r="P156" s="257">
        <f t="shared" si="36"/>
        <v>0</v>
      </c>
      <c r="Q156" s="272" t="str">
        <f t="shared" si="37"/>
        <v/>
      </c>
      <c r="R156" s="273" t="str">
        <f>IFERROR(SUMIF(#REF!,$A156,#REF!),"")</f>
        <v/>
      </c>
      <c r="S156" s="274" t="e">
        <f t="shared" si="38"/>
        <v>#VALUE!</v>
      </c>
      <c r="T156" s="258" t="s">
        <v>345</v>
      </c>
      <c r="U156" s="229"/>
      <c r="V156"/>
      <c r="Y156">
        <f t="shared" si="39"/>
        <v>0</v>
      </c>
    </row>
    <row r="157" s="246" customFormat="1" customHeight="1" spans="1:25">
      <c r="A157" s="193">
        <v>20231130</v>
      </c>
      <c r="B157" s="182" t="s">
        <v>329</v>
      </c>
      <c r="C157" s="182" t="s">
        <v>98</v>
      </c>
      <c r="D157" s="291" t="s">
        <v>346</v>
      </c>
      <c r="E157" s="182" t="s">
        <v>347</v>
      </c>
      <c r="F157" s="182"/>
      <c r="G157" s="182"/>
      <c r="H157" s="182"/>
      <c r="I157" s="182" t="s">
        <v>348</v>
      </c>
      <c r="J157" s="182"/>
      <c r="K157" s="182">
        <v>762509</v>
      </c>
      <c r="L157" s="182"/>
      <c r="M157" s="182"/>
      <c r="N157" s="289"/>
      <c r="O157" s="182">
        <v>22875.27</v>
      </c>
      <c r="P157" s="257">
        <f t="shared" si="36"/>
        <v>0</v>
      </c>
      <c r="Q157" s="272" t="str">
        <f t="shared" si="37"/>
        <v/>
      </c>
      <c r="R157" s="273" t="str">
        <f>IFERROR(SUMIF(#REF!,$A157,#REF!),"")</f>
        <v/>
      </c>
      <c r="S157" s="274" t="e">
        <f t="shared" si="38"/>
        <v>#VALUE!</v>
      </c>
      <c r="T157" s="258"/>
      <c r="U157" s="229"/>
      <c r="V157"/>
      <c r="Y157">
        <f t="shared" si="39"/>
        <v>0</v>
      </c>
    </row>
    <row r="158" s="246" customFormat="1" customHeight="1" spans="1:25">
      <c r="A158" s="193">
        <v>20231131</v>
      </c>
      <c r="B158" s="182" t="s">
        <v>329</v>
      </c>
      <c r="C158" s="182" t="s">
        <v>98</v>
      </c>
      <c r="D158" s="291" t="s">
        <v>349</v>
      </c>
      <c r="E158" s="182" t="s">
        <v>350</v>
      </c>
      <c r="F158" s="182"/>
      <c r="G158" s="182"/>
      <c r="H158" s="182"/>
      <c r="I158" s="182" t="s">
        <v>351</v>
      </c>
      <c r="J158" s="182"/>
      <c r="K158" s="182"/>
      <c r="L158" s="182"/>
      <c r="M158" s="182"/>
      <c r="N158" s="289"/>
      <c r="O158" s="182">
        <v>38702</v>
      </c>
      <c r="P158" s="257">
        <v>58702</v>
      </c>
      <c r="Q158" s="272" t="str">
        <f t="shared" si="37"/>
        <v/>
      </c>
      <c r="R158" s="273" t="str">
        <f>IFERROR(SUMIF(#REF!,$A158,#REF!),"")</f>
        <v/>
      </c>
      <c r="S158" s="274" t="e">
        <f t="shared" si="38"/>
        <v>#VALUE!</v>
      </c>
      <c r="T158" s="258" t="s">
        <v>352</v>
      </c>
      <c r="U158" s="229"/>
      <c r="V158"/>
      <c r="Y158">
        <f t="shared" si="39"/>
        <v>0</v>
      </c>
    </row>
  </sheetData>
  <autoFilter xmlns:etc="http://www.wps.cn/officeDocument/2017/etCustomData" ref="A3:XFD158" etc:filterBottomFollowUsedRange="0">
    <extLst/>
  </autoFilter>
  <mergeCells count="3">
    <mergeCell ref="T121:T124"/>
    <mergeCell ref="A1:Q2"/>
    <mergeCell ref="R1:T2"/>
  </mergeCells>
  <pageMargins left="0.7" right="0.7" top="0.75" bottom="0.75" header="0.3" footer="0.3"/>
  <pageSetup paperSize="9" orientation="portrait"/>
  <headerFooter/>
  <ignoredErrors>
    <ignoredError sqref="T31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97"/>
  <sheetViews>
    <sheetView zoomScale="70" zoomScaleNormal="70" workbookViewId="0">
      <pane xSplit="6" ySplit="3" topLeftCell="G168" activePane="bottomRight" state="frozen"/>
      <selection/>
      <selection pane="topRight"/>
      <selection pane="bottomLeft"/>
      <selection pane="bottomRight" activeCell="I51" sqref="I51"/>
    </sheetView>
  </sheetViews>
  <sheetFormatPr defaultColWidth="9" defaultRowHeight="14.25" customHeight="1"/>
  <cols>
    <col min="1" max="1" width="9.75" style="11" customWidth="1"/>
    <col min="2" max="2" width="7.60833333333333" style="11" customWidth="1"/>
    <col min="3" max="3" width="11.6583333333333" style="164" customWidth="1"/>
    <col min="4" max="4" width="6.18333333333333" style="165" customWidth="1"/>
    <col min="5" max="5" width="7.85" style="165" customWidth="1"/>
    <col min="6" max="6" width="8.69166666666667" style="165" customWidth="1"/>
    <col min="7" max="7" width="4.99166666666667" style="165" customWidth="1"/>
    <col min="8" max="8" width="9.28333333333333" style="166" customWidth="1"/>
    <col min="9" max="9" width="14.3916666666667" style="11" customWidth="1"/>
    <col min="10" max="10" width="20.5916666666667" style="167" customWidth="1"/>
    <col min="11" max="11" width="5.825" style="165" customWidth="1"/>
    <col min="12" max="12" width="8" style="168" customWidth="1"/>
    <col min="13" max="13" width="12.6666666666667" style="168"/>
    <col min="14" max="14" width="11.425" style="168" customWidth="1"/>
    <col min="15" max="15" width="9.25" style="169" customWidth="1"/>
    <col min="16" max="16" width="8.41666666666667" style="168" customWidth="1"/>
    <col min="17" max="17" width="11" style="168" customWidth="1"/>
    <col min="18" max="18" width="10.0833333333333" style="165" customWidth="1"/>
    <col min="19" max="19" width="8.325" style="170" customWidth="1"/>
    <col min="20" max="20" width="5.33333333333333" style="170" customWidth="1"/>
    <col min="21" max="21" width="9.16666666666667" style="170" customWidth="1"/>
    <col min="22" max="22" width="7.25" style="171" customWidth="1"/>
    <col min="23" max="23" width="5.83333333333333" style="172" customWidth="1"/>
    <col min="24" max="24" width="10.9166666666667" style="173" customWidth="1"/>
    <col min="25" max="25" width="6.83333333333333" style="174" customWidth="1"/>
    <col min="26" max="26" width="14.75" style="174" customWidth="1"/>
    <col min="27" max="27" width="7.08333333333333" style="174" customWidth="1"/>
    <col min="28" max="28" width="8.91666666666667" style="174" customWidth="1"/>
    <col min="29" max="29" width="9" customWidth="1"/>
    <col min="30" max="30" width="14.0833333333333" customWidth="1"/>
    <col min="31" max="31" width="13.3333333333333"/>
    <col min="32" max="32" width="12.5833333333333"/>
  </cols>
  <sheetData>
    <row r="1" customHeight="1" spans="1:27">
      <c r="A1" s="175" t="s">
        <v>0</v>
      </c>
      <c r="B1" s="175"/>
      <c r="C1" s="176"/>
      <c r="D1" s="175"/>
      <c r="E1" s="175"/>
      <c r="F1" s="175"/>
      <c r="G1" s="175"/>
      <c r="H1" s="177"/>
      <c r="I1" s="186"/>
      <c r="J1" s="187"/>
      <c r="K1" s="175"/>
      <c r="L1" s="188"/>
      <c r="M1" s="188"/>
      <c r="N1" s="188"/>
      <c r="O1" s="189"/>
      <c r="P1" s="188"/>
      <c r="Q1" s="188"/>
      <c r="R1" s="175"/>
      <c r="S1" s="198" t="s">
        <v>353</v>
      </c>
      <c r="T1" s="199"/>
      <c r="U1" s="200"/>
      <c r="V1" s="201"/>
      <c r="W1" s="200"/>
      <c r="X1" s="202" t="s">
        <v>1</v>
      </c>
      <c r="Y1" s="221"/>
      <c r="Z1" s="221"/>
      <c r="AA1" s="222"/>
    </row>
    <row r="2" customHeight="1" spans="1:27">
      <c r="A2" s="175"/>
      <c r="B2" s="175"/>
      <c r="C2" s="176"/>
      <c r="D2" s="175"/>
      <c r="E2" s="175"/>
      <c r="F2" s="175"/>
      <c r="G2" s="175"/>
      <c r="H2" s="177"/>
      <c r="I2" s="186"/>
      <c r="J2" s="187"/>
      <c r="K2" s="175"/>
      <c r="L2" s="188"/>
      <c r="M2" s="188"/>
      <c r="N2" s="188"/>
      <c r="O2" s="189"/>
      <c r="P2" s="188"/>
      <c r="Q2" s="188"/>
      <c r="R2" s="175"/>
      <c r="S2" s="203"/>
      <c r="T2" s="204"/>
      <c r="U2" s="205"/>
      <c r="V2" s="206"/>
      <c r="W2" s="207"/>
      <c r="X2" s="208"/>
      <c r="Y2" s="223"/>
      <c r="Z2" s="223"/>
      <c r="AA2"/>
    </row>
    <row r="3" s="163" customFormat="1" ht="38" customHeight="1" spans="1:31">
      <c r="A3" s="178" t="s">
        <v>2</v>
      </c>
      <c r="B3" s="178" t="s">
        <v>3</v>
      </c>
      <c r="C3" s="179" t="s">
        <v>354</v>
      </c>
      <c r="D3" s="180" t="s">
        <v>4</v>
      </c>
      <c r="E3" s="180" t="s">
        <v>5</v>
      </c>
      <c r="F3" s="180" t="s">
        <v>6</v>
      </c>
      <c r="G3" s="180" t="s">
        <v>7</v>
      </c>
      <c r="H3" s="181" t="s">
        <v>8</v>
      </c>
      <c r="I3" s="178" t="s">
        <v>9</v>
      </c>
      <c r="J3" s="190" t="s">
        <v>10</v>
      </c>
      <c r="K3" s="180" t="s">
        <v>11</v>
      </c>
      <c r="L3" s="191" t="s">
        <v>12</v>
      </c>
      <c r="M3" s="191" t="s">
        <v>13</v>
      </c>
      <c r="N3" s="191" t="s">
        <v>14</v>
      </c>
      <c r="O3" s="192" t="s">
        <v>15</v>
      </c>
      <c r="P3" s="191" t="s">
        <v>16</v>
      </c>
      <c r="Q3" s="191" t="s">
        <v>17</v>
      </c>
      <c r="R3" s="180" t="s">
        <v>18</v>
      </c>
      <c r="S3" s="209" t="s">
        <v>355</v>
      </c>
      <c r="T3" s="210" t="s">
        <v>356</v>
      </c>
      <c r="U3" s="210" t="s">
        <v>357</v>
      </c>
      <c r="V3" s="211" t="s">
        <v>358</v>
      </c>
      <c r="W3" s="212" t="s">
        <v>359</v>
      </c>
      <c r="X3" s="213" t="s">
        <v>19</v>
      </c>
      <c r="Y3" s="224" t="s">
        <v>20</v>
      </c>
      <c r="Z3" s="225" t="s">
        <v>21</v>
      </c>
      <c r="AA3" s="221" t="s">
        <v>360</v>
      </c>
      <c r="AB3" s="226" t="s">
        <v>22</v>
      </c>
      <c r="AE3" s="163" t="s">
        <v>23</v>
      </c>
    </row>
    <row r="4" customHeight="1" spans="1:28">
      <c r="A4" s="182"/>
      <c r="B4" s="182"/>
      <c r="C4" s="183" t="s">
        <v>361</v>
      </c>
      <c r="D4" s="184" t="s">
        <v>98</v>
      </c>
      <c r="E4" s="184" t="s">
        <v>346</v>
      </c>
      <c r="F4" s="184" t="s">
        <v>347</v>
      </c>
      <c r="G4" s="184"/>
      <c r="H4" s="185">
        <v>45145</v>
      </c>
      <c r="I4" s="193" t="s">
        <v>362</v>
      </c>
      <c r="J4" s="194" t="s">
        <v>363</v>
      </c>
      <c r="K4" s="184">
        <v>1</v>
      </c>
      <c r="L4" s="195">
        <v>358.407079646018</v>
      </c>
      <c r="M4" s="195">
        <v>685.840707964602</v>
      </c>
      <c r="N4" s="195">
        <f>M4-L4</f>
        <v>327.433628318584</v>
      </c>
      <c r="O4" s="196">
        <f t="shared" ref="O4:O67" si="0">IF(AND($N4&lt;&gt;0,$M4&lt;&gt;0),$N4/$M4,"")</f>
        <v>0.477419354838709</v>
      </c>
      <c r="P4" s="195">
        <f>M4*0.03</f>
        <v>20.5752212389381</v>
      </c>
      <c r="Q4" s="214">
        <f t="shared" ref="Q4:Q67" si="1">P4*K4</f>
        <v>20.5752212389381</v>
      </c>
      <c r="R4" s="215">
        <f t="shared" ref="R4:R67" si="2">IF(AND($P4&lt;&gt;0,$M4&lt;&gt;0),$P4/$M4,"")</f>
        <v>0.03</v>
      </c>
      <c r="S4" s="216">
        <f t="shared" ref="S4:S67" si="3">IF(AND(($N4*$K4-$Q4)&lt;&gt;0,($M4*$K4)&lt;&gt;0),($N4*$K4-$Q4)/($M4*$K4),"")</f>
        <v>0.447419354838709</v>
      </c>
      <c r="T4" s="217">
        <f t="shared" ref="T4:T67" si="4">IF($C4="深圳福达通",22%,IF($C4="康为",26%,IF($C4="新浪潮",26%,IF($C4="湖南飞英达",25%,IF($C4="志奋领",26%)))))</f>
        <v>0.22</v>
      </c>
      <c r="U4" s="218">
        <v>0.06</v>
      </c>
      <c r="V4" s="219">
        <f t="shared" ref="V4:V67" si="5">IF(T4-U4+R4&gt;0,T4-U4+R4,IF(T4-U4+R4=0,""))</f>
        <v>0.19</v>
      </c>
      <c r="W4" s="219" t="str">
        <f t="shared" ref="W4:W67" si="6">IF(S4-V4&lt;0,S4-V4,IF(S4-V4&gt;0,""))</f>
        <v/>
      </c>
      <c r="X4" s="220" t="str">
        <f>IFERROR(SUMIF(#REF!,$A4,#REF!),"")</f>
        <v/>
      </c>
      <c r="Y4" s="227" t="e">
        <f t="shared" ref="Y4:Y67" si="7">IF(AND(($N4*$K4-$X4)&lt;&gt;0,($M4*$K4)&lt;&gt;0),($N4*$K4-$X4)/($M4*$K4),"")</f>
        <v>#VALUE!</v>
      </c>
      <c r="Z4" s="228" t="s">
        <v>364</v>
      </c>
      <c r="AA4" s="228"/>
      <c r="AB4" s="229" t="e">
        <f t="shared" ref="AB4:AB67" si="8">X4-Q4</f>
        <v>#VALUE!</v>
      </c>
    </row>
    <row r="5" customFormat="1" customHeight="1" spans="1:28">
      <c r="A5" s="182"/>
      <c r="B5" s="182"/>
      <c r="C5" s="183" t="s">
        <v>361</v>
      </c>
      <c r="D5" s="184" t="s">
        <v>98</v>
      </c>
      <c r="E5" s="184" t="s">
        <v>346</v>
      </c>
      <c r="F5" s="184" t="s">
        <v>347</v>
      </c>
      <c r="G5" s="184"/>
      <c r="H5" s="185">
        <v>45145</v>
      </c>
      <c r="I5" s="193" t="s">
        <v>362</v>
      </c>
      <c r="J5" s="194" t="s">
        <v>365</v>
      </c>
      <c r="K5" s="184">
        <v>1</v>
      </c>
      <c r="L5" s="195">
        <v>203.097345132743</v>
      </c>
      <c r="M5" s="195">
        <v>376.106194690266</v>
      </c>
      <c r="N5" s="195">
        <f>M5-L5</f>
        <v>173.008849557523</v>
      </c>
      <c r="O5" s="196">
        <f t="shared" si="0"/>
        <v>0.460000000000002</v>
      </c>
      <c r="P5" s="195">
        <f t="shared" ref="P5:P36" si="9">M5*0.03</f>
        <v>11.283185840708</v>
      </c>
      <c r="Q5" s="214">
        <f t="shared" si="1"/>
        <v>11.283185840708</v>
      </c>
      <c r="R5" s="215">
        <f t="shared" si="2"/>
        <v>0.03</v>
      </c>
      <c r="S5" s="216">
        <f t="shared" si="3"/>
        <v>0.430000000000002</v>
      </c>
      <c r="T5" s="217">
        <f t="shared" si="4"/>
        <v>0.22</v>
      </c>
      <c r="U5" s="218">
        <v>0.06</v>
      </c>
      <c r="V5" s="219">
        <f t="shared" si="5"/>
        <v>0.19</v>
      </c>
      <c r="W5" s="219" t="str">
        <f t="shared" si="6"/>
        <v/>
      </c>
      <c r="X5" s="220" t="str">
        <f>IFERROR(SUMIF(#REF!,$A5,#REF!),"")</f>
        <v/>
      </c>
      <c r="Y5" s="227" t="e">
        <f t="shared" si="7"/>
        <v>#VALUE!</v>
      </c>
      <c r="Z5" s="228" t="s">
        <v>364</v>
      </c>
      <c r="AA5" s="228"/>
      <c r="AB5" s="229" t="e">
        <f t="shared" si="8"/>
        <v>#VALUE!</v>
      </c>
    </row>
    <row r="6" customFormat="1" customHeight="1" spans="1:28">
      <c r="A6" s="182"/>
      <c r="B6" s="182"/>
      <c r="C6" s="183" t="s">
        <v>361</v>
      </c>
      <c r="D6" s="184" t="s">
        <v>98</v>
      </c>
      <c r="E6" s="184" t="s">
        <v>346</v>
      </c>
      <c r="F6" s="184" t="s">
        <v>347</v>
      </c>
      <c r="G6" s="184"/>
      <c r="H6" s="185">
        <v>45145</v>
      </c>
      <c r="I6" s="193" t="s">
        <v>362</v>
      </c>
      <c r="J6" s="194" t="s">
        <v>363</v>
      </c>
      <c r="K6" s="184">
        <v>1</v>
      </c>
      <c r="L6" s="195">
        <v>358.407079646018</v>
      </c>
      <c r="M6" s="195">
        <v>685.840707964602</v>
      </c>
      <c r="N6" s="195">
        <f>M6-L6</f>
        <v>327.433628318584</v>
      </c>
      <c r="O6" s="196">
        <f t="shared" si="0"/>
        <v>0.477419354838709</v>
      </c>
      <c r="P6" s="195">
        <f t="shared" si="9"/>
        <v>20.5752212389381</v>
      </c>
      <c r="Q6" s="214">
        <f t="shared" si="1"/>
        <v>20.5752212389381</v>
      </c>
      <c r="R6" s="215">
        <f t="shared" si="2"/>
        <v>0.03</v>
      </c>
      <c r="S6" s="216">
        <f t="shared" si="3"/>
        <v>0.447419354838709</v>
      </c>
      <c r="T6" s="217">
        <f t="shared" si="4"/>
        <v>0.22</v>
      </c>
      <c r="U6" s="218">
        <v>0.06</v>
      </c>
      <c r="V6" s="219">
        <f t="shared" si="5"/>
        <v>0.19</v>
      </c>
      <c r="W6" s="219" t="str">
        <f t="shared" si="6"/>
        <v/>
      </c>
      <c r="X6" s="220" t="str">
        <f>IFERROR(SUMIF(#REF!,$A6,#REF!),"")</f>
        <v/>
      </c>
      <c r="Y6" s="227" t="e">
        <f t="shared" si="7"/>
        <v>#VALUE!</v>
      </c>
      <c r="Z6" s="228" t="s">
        <v>364</v>
      </c>
      <c r="AA6" s="228"/>
      <c r="AB6" s="229" t="e">
        <f t="shared" si="8"/>
        <v>#VALUE!</v>
      </c>
    </row>
    <row r="7" customFormat="1" customHeight="1" spans="1:28">
      <c r="A7" s="182"/>
      <c r="B7" s="182"/>
      <c r="C7" s="183" t="s">
        <v>361</v>
      </c>
      <c r="D7" s="184" t="s">
        <v>98</v>
      </c>
      <c r="E7" s="184" t="s">
        <v>346</v>
      </c>
      <c r="F7" s="184" t="s">
        <v>347</v>
      </c>
      <c r="G7" s="184"/>
      <c r="H7" s="185">
        <v>45145</v>
      </c>
      <c r="I7" s="193" t="s">
        <v>362</v>
      </c>
      <c r="J7" s="194" t="s">
        <v>365</v>
      </c>
      <c r="K7" s="184">
        <v>1</v>
      </c>
      <c r="L7" s="195">
        <v>203.097345132743</v>
      </c>
      <c r="M7" s="195">
        <v>376.106194690266</v>
      </c>
      <c r="N7" s="195">
        <f>M7-L7</f>
        <v>173.008849557523</v>
      </c>
      <c r="O7" s="196">
        <f t="shared" si="0"/>
        <v>0.460000000000002</v>
      </c>
      <c r="P7" s="195">
        <f t="shared" si="9"/>
        <v>11.283185840708</v>
      </c>
      <c r="Q7" s="214">
        <f t="shared" si="1"/>
        <v>11.283185840708</v>
      </c>
      <c r="R7" s="215">
        <f t="shared" si="2"/>
        <v>0.03</v>
      </c>
      <c r="S7" s="216">
        <f t="shared" si="3"/>
        <v>0.430000000000002</v>
      </c>
      <c r="T7" s="217">
        <f t="shared" si="4"/>
        <v>0.22</v>
      </c>
      <c r="U7" s="218">
        <v>0.06</v>
      </c>
      <c r="V7" s="219">
        <f t="shared" si="5"/>
        <v>0.19</v>
      </c>
      <c r="W7" s="219" t="str">
        <f t="shared" si="6"/>
        <v/>
      </c>
      <c r="X7" s="220" t="str">
        <f>IFERROR(SUMIF(#REF!,$A7,#REF!),"")</f>
        <v/>
      </c>
      <c r="Y7" s="227" t="e">
        <f t="shared" si="7"/>
        <v>#VALUE!</v>
      </c>
      <c r="Z7" s="228" t="s">
        <v>364</v>
      </c>
      <c r="AA7" s="228"/>
      <c r="AB7" s="229" t="e">
        <f t="shared" si="8"/>
        <v>#VALUE!</v>
      </c>
    </row>
    <row r="8" customFormat="1" customHeight="1" spans="1:28">
      <c r="A8" s="182"/>
      <c r="B8" s="182"/>
      <c r="C8" s="183" t="s">
        <v>361</v>
      </c>
      <c r="D8" s="184" t="s">
        <v>98</v>
      </c>
      <c r="E8" s="184" t="s">
        <v>346</v>
      </c>
      <c r="F8" s="184" t="s">
        <v>347</v>
      </c>
      <c r="G8" s="184"/>
      <c r="H8" s="185">
        <v>45145</v>
      </c>
      <c r="I8" s="193" t="s">
        <v>362</v>
      </c>
      <c r="J8" s="194" t="s">
        <v>363</v>
      </c>
      <c r="K8" s="184">
        <v>1</v>
      </c>
      <c r="L8" s="195">
        <v>358.407079646018</v>
      </c>
      <c r="M8" s="195">
        <v>685.840707964602</v>
      </c>
      <c r="N8" s="195">
        <f t="shared" ref="N8:N19" si="10">M8-L8</f>
        <v>327.433628318584</v>
      </c>
      <c r="O8" s="196">
        <f t="shared" si="0"/>
        <v>0.477419354838709</v>
      </c>
      <c r="P8" s="195">
        <f t="shared" si="9"/>
        <v>20.5752212389381</v>
      </c>
      <c r="Q8" s="214">
        <f t="shared" si="1"/>
        <v>20.5752212389381</v>
      </c>
      <c r="R8" s="215">
        <f t="shared" si="2"/>
        <v>0.03</v>
      </c>
      <c r="S8" s="216">
        <f t="shared" si="3"/>
        <v>0.447419354838709</v>
      </c>
      <c r="T8" s="217">
        <f t="shared" si="4"/>
        <v>0.22</v>
      </c>
      <c r="U8" s="218">
        <v>0.06</v>
      </c>
      <c r="V8" s="219">
        <f t="shared" si="5"/>
        <v>0.19</v>
      </c>
      <c r="W8" s="219" t="str">
        <f t="shared" si="6"/>
        <v/>
      </c>
      <c r="X8" s="220" t="str">
        <f>IFERROR(SUMIF(#REF!,$A8,#REF!),"")</f>
        <v/>
      </c>
      <c r="Y8" s="227" t="e">
        <f t="shared" si="7"/>
        <v>#VALUE!</v>
      </c>
      <c r="Z8" s="228" t="s">
        <v>364</v>
      </c>
      <c r="AA8" s="228"/>
      <c r="AB8" s="229" t="e">
        <f t="shared" si="8"/>
        <v>#VALUE!</v>
      </c>
    </row>
    <row r="9" customFormat="1" customHeight="1" spans="1:28">
      <c r="A9" s="182"/>
      <c r="B9" s="182"/>
      <c r="C9" s="183" t="s">
        <v>361</v>
      </c>
      <c r="D9" s="184" t="s">
        <v>98</v>
      </c>
      <c r="E9" s="184" t="s">
        <v>346</v>
      </c>
      <c r="F9" s="184" t="s">
        <v>347</v>
      </c>
      <c r="G9" s="184"/>
      <c r="H9" s="185">
        <v>45145</v>
      </c>
      <c r="I9" s="193" t="s">
        <v>362</v>
      </c>
      <c r="J9" s="194" t="s">
        <v>365</v>
      </c>
      <c r="K9" s="184">
        <v>1</v>
      </c>
      <c r="L9" s="195">
        <v>203.097345132743</v>
      </c>
      <c r="M9" s="195">
        <v>376.106194690266</v>
      </c>
      <c r="N9" s="195">
        <f t="shared" si="10"/>
        <v>173.008849557523</v>
      </c>
      <c r="O9" s="196">
        <f t="shared" si="0"/>
        <v>0.460000000000002</v>
      </c>
      <c r="P9" s="195">
        <f t="shared" si="9"/>
        <v>11.283185840708</v>
      </c>
      <c r="Q9" s="214">
        <f t="shared" si="1"/>
        <v>11.283185840708</v>
      </c>
      <c r="R9" s="215">
        <f t="shared" si="2"/>
        <v>0.03</v>
      </c>
      <c r="S9" s="216">
        <f t="shared" si="3"/>
        <v>0.430000000000002</v>
      </c>
      <c r="T9" s="217">
        <f t="shared" si="4"/>
        <v>0.22</v>
      </c>
      <c r="U9" s="218">
        <v>0.06</v>
      </c>
      <c r="V9" s="219">
        <f t="shared" si="5"/>
        <v>0.19</v>
      </c>
      <c r="W9" s="219" t="str">
        <f t="shared" si="6"/>
        <v/>
      </c>
      <c r="X9" s="220" t="str">
        <f>IFERROR(SUMIF(#REF!,$A9,#REF!),"")</f>
        <v/>
      </c>
      <c r="Y9" s="227" t="e">
        <f t="shared" si="7"/>
        <v>#VALUE!</v>
      </c>
      <c r="Z9" s="228" t="s">
        <v>364</v>
      </c>
      <c r="AA9" s="228"/>
      <c r="AB9" s="229" t="e">
        <f t="shared" si="8"/>
        <v>#VALUE!</v>
      </c>
    </row>
    <row r="10" customFormat="1" customHeight="1" spans="1:28">
      <c r="A10" s="182"/>
      <c r="B10" s="182"/>
      <c r="C10" s="183" t="s">
        <v>361</v>
      </c>
      <c r="D10" s="184" t="s">
        <v>98</v>
      </c>
      <c r="E10" s="184" t="s">
        <v>346</v>
      </c>
      <c r="F10" s="184" t="s">
        <v>347</v>
      </c>
      <c r="G10" s="184"/>
      <c r="H10" s="185">
        <v>45145</v>
      </c>
      <c r="I10" s="193" t="s">
        <v>362</v>
      </c>
      <c r="J10" s="194" t="s">
        <v>363</v>
      </c>
      <c r="K10" s="184">
        <v>1</v>
      </c>
      <c r="L10" s="195">
        <v>358.407079646018</v>
      </c>
      <c r="M10" s="195">
        <v>685.840707964602</v>
      </c>
      <c r="N10" s="195">
        <f t="shared" si="10"/>
        <v>327.433628318584</v>
      </c>
      <c r="O10" s="196">
        <f t="shared" si="0"/>
        <v>0.477419354838709</v>
      </c>
      <c r="P10" s="195">
        <f t="shared" si="9"/>
        <v>20.5752212389381</v>
      </c>
      <c r="Q10" s="214">
        <f t="shared" si="1"/>
        <v>20.5752212389381</v>
      </c>
      <c r="R10" s="215">
        <f t="shared" si="2"/>
        <v>0.03</v>
      </c>
      <c r="S10" s="216">
        <f t="shared" si="3"/>
        <v>0.447419354838709</v>
      </c>
      <c r="T10" s="217">
        <f t="shared" si="4"/>
        <v>0.22</v>
      </c>
      <c r="U10" s="218">
        <v>0.06</v>
      </c>
      <c r="V10" s="219">
        <f t="shared" si="5"/>
        <v>0.19</v>
      </c>
      <c r="W10" s="219" t="str">
        <f t="shared" si="6"/>
        <v/>
      </c>
      <c r="X10" s="220" t="str">
        <f>IFERROR(SUMIF(#REF!,$A10,#REF!),"")</f>
        <v/>
      </c>
      <c r="Y10" s="227" t="e">
        <f t="shared" si="7"/>
        <v>#VALUE!</v>
      </c>
      <c r="Z10" s="228" t="s">
        <v>364</v>
      </c>
      <c r="AA10" s="228"/>
      <c r="AB10" s="229" t="e">
        <f t="shared" si="8"/>
        <v>#VALUE!</v>
      </c>
    </row>
    <row r="11" customFormat="1" customHeight="1" spans="1:28">
      <c r="A11" s="182"/>
      <c r="B11" s="182"/>
      <c r="C11" s="183" t="s">
        <v>361</v>
      </c>
      <c r="D11" s="184" t="s">
        <v>98</v>
      </c>
      <c r="E11" s="184" t="s">
        <v>346</v>
      </c>
      <c r="F11" s="184" t="s">
        <v>347</v>
      </c>
      <c r="G11" s="184"/>
      <c r="H11" s="185">
        <v>45145</v>
      </c>
      <c r="I11" s="193" t="s">
        <v>362</v>
      </c>
      <c r="J11" s="194" t="s">
        <v>365</v>
      </c>
      <c r="K11" s="184">
        <v>1</v>
      </c>
      <c r="L11" s="195">
        <v>203.097345132743</v>
      </c>
      <c r="M11" s="195">
        <v>376.106194690266</v>
      </c>
      <c r="N11" s="195">
        <f t="shared" si="10"/>
        <v>173.008849557523</v>
      </c>
      <c r="O11" s="196">
        <f t="shared" si="0"/>
        <v>0.460000000000002</v>
      </c>
      <c r="P11" s="195">
        <f t="shared" si="9"/>
        <v>11.283185840708</v>
      </c>
      <c r="Q11" s="214">
        <f t="shared" si="1"/>
        <v>11.283185840708</v>
      </c>
      <c r="R11" s="215">
        <f t="shared" si="2"/>
        <v>0.03</v>
      </c>
      <c r="S11" s="216">
        <f t="shared" si="3"/>
        <v>0.430000000000002</v>
      </c>
      <c r="T11" s="217">
        <f t="shared" si="4"/>
        <v>0.22</v>
      </c>
      <c r="U11" s="218">
        <v>0.06</v>
      </c>
      <c r="V11" s="219">
        <f t="shared" si="5"/>
        <v>0.19</v>
      </c>
      <c r="W11" s="219" t="str">
        <f t="shared" si="6"/>
        <v/>
      </c>
      <c r="X11" s="220" t="str">
        <f>IFERROR(SUMIF(#REF!,$A11,#REF!),"")</f>
        <v/>
      </c>
      <c r="Y11" s="227" t="e">
        <f t="shared" si="7"/>
        <v>#VALUE!</v>
      </c>
      <c r="Z11" s="228" t="s">
        <v>364</v>
      </c>
      <c r="AA11" s="228"/>
      <c r="AB11" s="229" t="e">
        <f t="shared" si="8"/>
        <v>#VALUE!</v>
      </c>
    </row>
    <row r="12" customFormat="1" customHeight="1" spans="1:28">
      <c r="A12" s="182"/>
      <c r="B12" s="182"/>
      <c r="C12" s="183" t="s">
        <v>361</v>
      </c>
      <c r="D12" s="184" t="s">
        <v>98</v>
      </c>
      <c r="E12" s="184" t="s">
        <v>346</v>
      </c>
      <c r="F12" s="184" t="s">
        <v>347</v>
      </c>
      <c r="G12" s="184"/>
      <c r="H12" s="185">
        <v>45145</v>
      </c>
      <c r="I12" s="193" t="s">
        <v>362</v>
      </c>
      <c r="J12" s="194" t="s">
        <v>363</v>
      </c>
      <c r="K12" s="184">
        <v>1</v>
      </c>
      <c r="L12" s="195">
        <v>358.407079646018</v>
      </c>
      <c r="M12" s="195">
        <v>685.840707964602</v>
      </c>
      <c r="N12" s="195">
        <f t="shared" si="10"/>
        <v>327.433628318584</v>
      </c>
      <c r="O12" s="196">
        <f t="shared" si="0"/>
        <v>0.477419354838709</v>
      </c>
      <c r="P12" s="195">
        <f t="shared" si="9"/>
        <v>20.5752212389381</v>
      </c>
      <c r="Q12" s="214">
        <f t="shared" si="1"/>
        <v>20.5752212389381</v>
      </c>
      <c r="R12" s="215">
        <f t="shared" si="2"/>
        <v>0.03</v>
      </c>
      <c r="S12" s="216">
        <f t="shared" si="3"/>
        <v>0.447419354838709</v>
      </c>
      <c r="T12" s="217">
        <f t="shared" si="4"/>
        <v>0.22</v>
      </c>
      <c r="U12" s="218">
        <v>0.06</v>
      </c>
      <c r="V12" s="219">
        <f t="shared" si="5"/>
        <v>0.19</v>
      </c>
      <c r="W12" s="219" t="str">
        <f t="shared" si="6"/>
        <v/>
      </c>
      <c r="X12" s="220" t="str">
        <f>IFERROR(SUMIF(#REF!,$A12,#REF!),"")</f>
        <v/>
      </c>
      <c r="Y12" s="227" t="e">
        <f t="shared" si="7"/>
        <v>#VALUE!</v>
      </c>
      <c r="Z12" s="228" t="s">
        <v>364</v>
      </c>
      <c r="AA12" s="228"/>
      <c r="AB12" s="229" t="e">
        <f t="shared" si="8"/>
        <v>#VALUE!</v>
      </c>
    </row>
    <row r="13" customFormat="1" customHeight="1" spans="1:28">
      <c r="A13" s="182"/>
      <c r="B13" s="182"/>
      <c r="C13" s="183" t="s">
        <v>361</v>
      </c>
      <c r="D13" s="184" t="s">
        <v>98</v>
      </c>
      <c r="E13" s="184" t="s">
        <v>346</v>
      </c>
      <c r="F13" s="184" t="s">
        <v>347</v>
      </c>
      <c r="G13" s="184"/>
      <c r="H13" s="185">
        <v>45145</v>
      </c>
      <c r="I13" s="193" t="s">
        <v>362</v>
      </c>
      <c r="J13" s="194" t="s">
        <v>365</v>
      </c>
      <c r="K13" s="184">
        <v>1</v>
      </c>
      <c r="L13" s="195">
        <v>203.097345132743</v>
      </c>
      <c r="M13" s="195">
        <v>376.106194690266</v>
      </c>
      <c r="N13" s="195">
        <f t="shared" si="10"/>
        <v>173.008849557523</v>
      </c>
      <c r="O13" s="196">
        <f t="shared" si="0"/>
        <v>0.460000000000002</v>
      </c>
      <c r="P13" s="195">
        <f t="shared" si="9"/>
        <v>11.283185840708</v>
      </c>
      <c r="Q13" s="214">
        <f t="shared" si="1"/>
        <v>11.283185840708</v>
      </c>
      <c r="R13" s="215">
        <f t="shared" si="2"/>
        <v>0.03</v>
      </c>
      <c r="S13" s="216">
        <f t="shared" si="3"/>
        <v>0.430000000000002</v>
      </c>
      <c r="T13" s="217">
        <f t="shared" si="4"/>
        <v>0.22</v>
      </c>
      <c r="U13" s="218">
        <v>0.06</v>
      </c>
      <c r="V13" s="219">
        <f t="shared" si="5"/>
        <v>0.19</v>
      </c>
      <c r="W13" s="219" t="str">
        <f t="shared" si="6"/>
        <v/>
      </c>
      <c r="X13" s="220" t="str">
        <f>IFERROR(SUMIF(#REF!,$A13,#REF!),"")</f>
        <v/>
      </c>
      <c r="Y13" s="227" t="e">
        <f t="shared" si="7"/>
        <v>#VALUE!</v>
      </c>
      <c r="Z13" s="228" t="s">
        <v>364</v>
      </c>
      <c r="AA13" s="228"/>
      <c r="AB13" s="229" t="e">
        <f t="shared" si="8"/>
        <v>#VALUE!</v>
      </c>
    </row>
    <row r="14" customFormat="1" customHeight="1" spans="1:28">
      <c r="A14" s="182"/>
      <c r="B14" s="182"/>
      <c r="C14" s="183" t="s">
        <v>361</v>
      </c>
      <c r="D14" s="184" t="s">
        <v>98</v>
      </c>
      <c r="E14" s="184" t="s">
        <v>346</v>
      </c>
      <c r="F14" s="184" t="s">
        <v>347</v>
      </c>
      <c r="G14" s="184"/>
      <c r="H14" s="185">
        <v>45145</v>
      </c>
      <c r="I14" s="193" t="s">
        <v>362</v>
      </c>
      <c r="J14" s="194" t="s">
        <v>363</v>
      </c>
      <c r="K14" s="184">
        <v>1</v>
      </c>
      <c r="L14" s="195">
        <v>358.407079646018</v>
      </c>
      <c r="M14" s="195">
        <v>685.840707964602</v>
      </c>
      <c r="N14" s="195">
        <f t="shared" si="10"/>
        <v>327.433628318584</v>
      </c>
      <c r="O14" s="196">
        <f t="shared" si="0"/>
        <v>0.477419354838709</v>
      </c>
      <c r="P14" s="195">
        <f t="shared" si="9"/>
        <v>20.5752212389381</v>
      </c>
      <c r="Q14" s="214">
        <f t="shared" si="1"/>
        <v>20.5752212389381</v>
      </c>
      <c r="R14" s="215">
        <f t="shared" si="2"/>
        <v>0.03</v>
      </c>
      <c r="S14" s="216">
        <f t="shared" si="3"/>
        <v>0.447419354838709</v>
      </c>
      <c r="T14" s="217">
        <f t="shared" si="4"/>
        <v>0.22</v>
      </c>
      <c r="U14" s="218">
        <v>0.06</v>
      </c>
      <c r="V14" s="219">
        <f t="shared" si="5"/>
        <v>0.19</v>
      </c>
      <c r="W14" s="219" t="str">
        <f t="shared" si="6"/>
        <v/>
      </c>
      <c r="X14" s="220" t="str">
        <f>IFERROR(SUMIF(#REF!,$A14,#REF!),"")</f>
        <v/>
      </c>
      <c r="Y14" s="227" t="e">
        <f t="shared" si="7"/>
        <v>#VALUE!</v>
      </c>
      <c r="Z14" s="228" t="s">
        <v>364</v>
      </c>
      <c r="AA14" s="228"/>
      <c r="AB14" s="229" t="e">
        <f t="shared" si="8"/>
        <v>#VALUE!</v>
      </c>
    </row>
    <row r="15" customFormat="1" customHeight="1" spans="1:28">
      <c r="A15" s="182"/>
      <c r="B15" s="182"/>
      <c r="C15" s="183" t="s">
        <v>361</v>
      </c>
      <c r="D15" s="184" t="s">
        <v>98</v>
      </c>
      <c r="E15" s="184" t="s">
        <v>346</v>
      </c>
      <c r="F15" s="184" t="s">
        <v>347</v>
      </c>
      <c r="G15" s="184"/>
      <c r="H15" s="185">
        <v>45145</v>
      </c>
      <c r="I15" s="193" t="s">
        <v>362</v>
      </c>
      <c r="J15" s="194" t="s">
        <v>365</v>
      </c>
      <c r="K15" s="184">
        <v>1</v>
      </c>
      <c r="L15" s="195">
        <v>203.097345132743</v>
      </c>
      <c r="M15" s="195">
        <v>376.106194690266</v>
      </c>
      <c r="N15" s="195">
        <f t="shared" si="10"/>
        <v>173.008849557523</v>
      </c>
      <c r="O15" s="196">
        <f t="shared" si="0"/>
        <v>0.460000000000002</v>
      </c>
      <c r="P15" s="195">
        <f t="shared" si="9"/>
        <v>11.283185840708</v>
      </c>
      <c r="Q15" s="214">
        <f t="shared" si="1"/>
        <v>11.283185840708</v>
      </c>
      <c r="R15" s="215">
        <f t="shared" si="2"/>
        <v>0.03</v>
      </c>
      <c r="S15" s="216">
        <f t="shared" si="3"/>
        <v>0.430000000000002</v>
      </c>
      <c r="T15" s="217">
        <f t="shared" si="4"/>
        <v>0.22</v>
      </c>
      <c r="U15" s="218">
        <v>0.06</v>
      </c>
      <c r="V15" s="219">
        <f t="shared" si="5"/>
        <v>0.19</v>
      </c>
      <c r="W15" s="219" t="str">
        <f t="shared" si="6"/>
        <v/>
      </c>
      <c r="X15" s="220" t="str">
        <f>IFERROR(SUMIF(#REF!,$A15,#REF!),"")</f>
        <v/>
      </c>
      <c r="Y15" s="227" t="e">
        <f t="shared" si="7"/>
        <v>#VALUE!</v>
      </c>
      <c r="Z15" s="228" t="s">
        <v>364</v>
      </c>
      <c r="AA15" s="228"/>
      <c r="AB15" s="229" t="e">
        <f t="shared" si="8"/>
        <v>#VALUE!</v>
      </c>
    </row>
    <row r="16" customFormat="1" customHeight="1" spans="1:28">
      <c r="A16" s="182"/>
      <c r="B16" s="182"/>
      <c r="C16" s="183" t="s">
        <v>361</v>
      </c>
      <c r="D16" s="184" t="s">
        <v>98</v>
      </c>
      <c r="E16" s="184" t="s">
        <v>346</v>
      </c>
      <c r="F16" s="184" t="s">
        <v>347</v>
      </c>
      <c r="G16" s="184"/>
      <c r="H16" s="185">
        <v>45145</v>
      </c>
      <c r="I16" s="193" t="s">
        <v>362</v>
      </c>
      <c r="J16" s="194" t="s">
        <v>363</v>
      </c>
      <c r="K16" s="184">
        <v>1</v>
      </c>
      <c r="L16" s="195">
        <v>358.407079646018</v>
      </c>
      <c r="M16" s="195">
        <v>685.840707964602</v>
      </c>
      <c r="N16" s="195">
        <f t="shared" si="10"/>
        <v>327.433628318584</v>
      </c>
      <c r="O16" s="196">
        <f t="shared" si="0"/>
        <v>0.477419354838709</v>
      </c>
      <c r="P16" s="195">
        <f t="shared" si="9"/>
        <v>20.5752212389381</v>
      </c>
      <c r="Q16" s="214">
        <f t="shared" si="1"/>
        <v>20.5752212389381</v>
      </c>
      <c r="R16" s="215">
        <f t="shared" si="2"/>
        <v>0.03</v>
      </c>
      <c r="S16" s="216">
        <f t="shared" si="3"/>
        <v>0.447419354838709</v>
      </c>
      <c r="T16" s="217">
        <f t="shared" si="4"/>
        <v>0.22</v>
      </c>
      <c r="U16" s="218">
        <v>0.06</v>
      </c>
      <c r="V16" s="219">
        <f t="shared" si="5"/>
        <v>0.19</v>
      </c>
      <c r="W16" s="219" t="str">
        <f t="shared" si="6"/>
        <v/>
      </c>
      <c r="X16" s="220" t="str">
        <f>IFERROR(SUMIF(#REF!,$A16,#REF!),"")</f>
        <v/>
      </c>
      <c r="Y16" s="227" t="e">
        <f t="shared" si="7"/>
        <v>#VALUE!</v>
      </c>
      <c r="Z16" s="228" t="s">
        <v>364</v>
      </c>
      <c r="AA16" s="228"/>
      <c r="AB16" s="229" t="e">
        <f t="shared" si="8"/>
        <v>#VALUE!</v>
      </c>
    </row>
    <row r="17" customFormat="1" customHeight="1" spans="1:28">
      <c r="A17" s="182"/>
      <c r="B17" s="182"/>
      <c r="C17" s="183" t="s">
        <v>361</v>
      </c>
      <c r="D17" s="184" t="s">
        <v>98</v>
      </c>
      <c r="E17" s="184" t="s">
        <v>346</v>
      </c>
      <c r="F17" s="184" t="s">
        <v>347</v>
      </c>
      <c r="G17" s="184"/>
      <c r="H17" s="185">
        <v>45145</v>
      </c>
      <c r="I17" s="193" t="s">
        <v>362</v>
      </c>
      <c r="J17" s="194" t="s">
        <v>365</v>
      </c>
      <c r="K17" s="184">
        <v>1</v>
      </c>
      <c r="L17" s="195">
        <v>203.097345132743</v>
      </c>
      <c r="M17" s="195">
        <v>376.106194690266</v>
      </c>
      <c r="N17" s="195">
        <f t="shared" si="10"/>
        <v>173.008849557523</v>
      </c>
      <c r="O17" s="196">
        <f t="shared" si="0"/>
        <v>0.460000000000002</v>
      </c>
      <c r="P17" s="195">
        <f t="shared" si="9"/>
        <v>11.283185840708</v>
      </c>
      <c r="Q17" s="214">
        <f t="shared" si="1"/>
        <v>11.283185840708</v>
      </c>
      <c r="R17" s="215">
        <f t="shared" si="2"/>
        <v>0.03</v>
      </c>
      <c r="S17" s="216">
        <f t="shared" si="3"/>
        <v>0.430000000000002</v>
      </c>
      <c r="T17" s="217">
        <f t="shared" si="4"/>
        <v>0.22</v>
      </c>
      <c r="U17" s="218">
        <v>0.06</v>
      </c>
      <c r="V17" s="219">
        <f t="shared" si="5"/>
        <v>0.19</v>
      </c>
      <c r="W17" s="219" t="str">
        <f t="shared" si="6"/>
        <v/>
      </c>
      <c r="X17" s="220" t="str">
        <f>IFERROR(SUMIF(#REF!,$A17,#REF!),"")</f>
        <v/>
      </c>
      <c r="Y17" s="227" t="e">
        <f t="shared" si="7"/>
        <v>#VALUE!</v>
      </c>
      <c r="Z17" s="228" t="s">
        <v>364</v>
      </c>
      <c r="AA17" s="228"/>
      <c r="AB17" s="229" t="e">
        <f t="shared" si="8"/>
        <v>#VALUE!</v>
      </c>
    </row>
    <row r="18" customFormat="1" customHeight="1" spans="1:28">
      <c r="A18" s="182"/>
      <c r="B18" s="182"/>
      <c r="C18" s="183" t="s">
        <v>361</v>
      </c>
      <c r="D18" s="184" t="s">
        <v>98</v>
      </c>
      <c r="E18" s="184" t="s">
        <v>346</v>
      </c>
      <c r="F18" s="184" t="s">
        <v>347</v>
      </c>
      <c r="G18" s="184"/>
      <c r="H18" s="185">
        <v>45146</v>
      </c>
      <c r="I18" s="193" t="s">
        <v>362</v>
      </c>
      <c r="J18" s="194" t="s">
        <v>363</v>
      </c>
      <c r="K18" s="184">
        <v>1</v>
      </c>
      <c r="L18" s="195">
        <v>358.407079646018</v>
      </c>
      <c r="M18" s="195">
        <v>685.840707964602</v>
      </c>
      <c r="N18" s="195">
        <f t="shared" si="10"/>
        <v>327.433628318584</v>
      </c>
      <c r="O18" s="196">
        <f t="shared" si="0"/>
        <v>0.477419354838709</v>
      </c>
      <c r="P18" s="195">
        <f t="shared" si="9"/>
        <v>20.5752212389381</v>
      </c>
      <c r="Q18" s="214">
        <f t="shared" si="1"/>
        <v>20.5752212389381</v>
      </c>
      <c r="R18" s="215">
        <f t="shared" si="2"/>
        <v>0.03</v>
      </c>
      <c r="S18" s="216">
        <f t="shared" si="3"/>
        <v>0.447419354838709</v>
      </c>
      <c r="T18" s="217">
        <f t="shared" si="4"/>
        <v>0.22</v>
      </c>
      <c r="U18" s="218">
        <v>0.06</v>
      </c>
      <c r="V18" s="219">
        <f t="shared" si="5"/>
        <v>0.19</v>
      </c>
      <c r="W18" s="219" t="str">
        <f t="shared" si="6"/>
        <v/>
      </c>
      <c r="X18" s="220" t="str">
        <f>IFERROR(SUMIF(#REF!,$A18,#REF!),"")</f>
        <v/>
      </c>
      <c r="Y18" s="227" t="e">
        <f t="shared" si="7"/>
        <v>#VALUE!</v>
      </c>
      <c r="Z18" s="228" t="s">
        <v>366</v>
      </c>
      <c r="AA18" s="228"/>
      <c r="AB18" s="229" t="e">
        <f t="shared" si="8"/>
        <v>#VALUE!</v>
      </c>
    </row>
    <row r="19" customFormat="1" customHeight="1" spans="1:28">
      <c r="A19" s="182"/>
      <c r="B19" s="182"/>
      <c r="C19" s="183" t="s">
        <v>361</v>
      </c>
      <c r="D19" s="184" t="s">
        <v>98</v>
      </c>
      <c r="E19" s="184" t="s">
        <v>346</v>
      </c>
      <c r="F19" s="184" t="s">
        <v>347</v>
      </c>
      <c r="G19" s="184"/>
      <c r="H19" s="185">
        <v>45146</v>
      </c>
      <c r="I19" s="193" t="s">
        <v>362</v>
      </c>
      <c r="J19" s="194" t="s">
        <v>363</v>
      </c>
      <c r="K19" s="184">
        <v>1</v>
      </c>
      <c r="L19" s="195">
        <v>358.407079646018</v>
      </c>
      <c r="M19" s="195">
        <v>685.840707964602</v>
      </c>
      <c r="N19" s="195">
        <f t="shared" si="10"/>
        <v>327.433628318584</v>
      </c>
      <c r="O19" s="196">
        <f t="shared" si="0"/>
        <v>0.477419354838709</v>
      </c>
      <c r="P19" s="195">
        <f t="shared" si="9"/>
        <v>20.5752212389381</v>
      </c>
      <c r="Q19" s="214">
        <f t="shared" si="1"/>
        <v>20.5752212389381</v>
      </c>
      <c r="R19" s="215">
        <f t="shared" si="2"/>
        <v>0.03</v>
      </c>
      <c r="S19" s="216">
        <f t="shared" si="3"/>
        <v>0.447419354838709</v>
      </c>
      <c r="T19" s="217">
        <f t="shared" si="4"/>
        <v>0.22</v>
      </c>
      <c r="U19" s="218">
        <v>0.06</v>
      </c>
      <c r="V19" s="219">
        <f t="shared" si="5"/>
        <v>0.19</v>
      </c>
      <c r="W19" s="219" t="str">
        <f t="shared" si="6"/>
        <v/>
      </c>
      <c r="X19" s="220" t="str">
        <f>IFERROR(SUMIF(#REF!,$A19,#REF!),"")</f>
        <v/>
      </c>
      <c r="Y19" s="227" t="e">
        <f t="shared" si="7"/>
        <v>#VALUE!</v>
      </c>
      <c r="Z19" s="228" t="s">
        <v>366</v>
      </c>
      <c r="AA19" s="228"/>
      <c r="AB19" s="229" t="e">
        <f t="shared" si="8"/>
        <v>#VALUE!</v>
      </c>
    </row>
    <row r="20" customFormat="1" customHeight="1" spans="1:28">
      <c r="A20" s="182"/>
      <c r="B20" s="182"/>
      <c r="C20" s="183" t="s">
        <v>361</v>
      </c>
      <c r="D20" s="184" t="s">
        <v>98</v>
      </c>
      <c r="E20" s="184" t="s">
        <v>346</v>
      </c>
      <c r="F20" s="184" t="s">
        <v>347</v>
      </c>
      <c r="G20" s="184"/>
      <c r="H20" s="185">
        <v>45146</v>
      </c>
      <c r="I20" s="193" t="s">
        <v>362</v>
      </c>
      <c r="J20" s="194" t="s">
        <v>365</v>
      </c>
      <c r="K20" s="184">
        <v>1</v>
      </c>
      <c r="L20" s="195">
        <v>203.097345132743</v>
      </c>
      <c r="M20" s="195">
        <v>376.106194690266</v>
      </c>
      <c r="N20" s="195">
        <f t="shared" ref="N20:N30" si="11">M20-L20</f>
        <v>173.008849557523</v>
      </c>
      <c r="O20" s="196">
        <f t="shared" si="0"/>
        <v>0.460000000000002</v>
      </c>
      <c r="P20" s="195">
        <f t="shared" si="9"/>
        <v>11.283185840708</v>
      </c>
      <c r="Q20" s="214">
        <f t="shared" si="1"/>
        <v>11.283185840708</v>
      </c>
      <c r="R20" s="215">
        <f t="shared" si="2"/>
        <v>0.03</v>
      </c>
      <c r="S20" s="216">
        <f t="shared" si="3"/>
        <v>0.430000000000002</v>
      </c>
      <c r="T20" s="217">
        <f t="shared" si="4"/>
        <v>0.22</v>
      </c>
      <c r="U20" s="218">
        <v>0.06</v>
      </c>
      <c r="V20" s="219">
        <f t="shared" si="5"/>
        <v>0.19</v>
      </c>
      <c r="W20" s="219" t="str">
        <f t="shared" si="6"/>
        <v/>
      </c>
      <c r="X20" s="220" t="str">
        <f>IFERROR(SUMIF(#REF!,$A20,#REF!),"")</f>
        <v/>
      </c>
      <c r="Y20" s="227" t="e">
        <f t="shared" si="7"/>
        <v>#VALUE!</v>
      </c>
      <c r="Z20" s="228" t="s">
        <v>366</v>
      </c>
      <c r="AA20" s="228"/>
      <c r="AB20" s="229" t="e">
        <f t="shared" si="8"/>
        <v>#VALUE!</v>
      </c>
    </row>
    <row r="21" customFormat="1" customHeight="1" spans="1:28">
      <c r="A21" s="182"/>
      <c r="B21" s="182"/>
      <c r="C21" s="183" t="s">
        <v>361</v>
      </c>
      <c r="D21" s="184" t="s">
        <v>98</v>
      </c>
      <c r="E21" s="184" t="s">
        <v>346</v>
      </c>
      <c r="F21" s="184" t="s">
        <v>347</v>
      </c>
      <c r="G21" s="184"/>
      <c r="H21" s="185">
        <v>45146</v>
      </c>
      <c r="I21" s="193" t="s">
        <v>362</v>
      </c>
      <c r="J21" s="194" t="s">
        <v>363</v>
      </c>
      <c r="K21" s="184">
        <v>1</v>
      </c>
      <c r="L21" s="195">
        <v>358.407079646018</v>
      </c>
      <c r="M21" s="195">
        <v>685.840707964602</v>
      </c>
      <c r="N21" s="195">
        <f t="shared" si="11"/>
        <v>327.433628318584</v>
      </c>
      <c r="O21" s="196">
        <f t="shared" si="0"/>
        <v>0.477419354838709</v>
      </c>
      <c r="P21" s="195">
        <f t="shared" si="9"/>
        <v>20.5752212389381</v>
      </c>
      <c r="Q21" s="214">
        <f t="shared" si="1"/>
        <v>20.5752212389381</v>
      </c>
      <c r="R21" s="215">
        <f t="shared" si="2"/>
        <v>0.03</v>
      </c>
      <c r="S21" s="216">
        <f t="shared" si="3"/>
        <v>0.447419354838709</v>
      </c>
      <c r="T21" s="217">
        <f t="shared" si="4"/>
        <v>0.22</v>
      </c>
      <c r="U21" s="218">
        <v>0.06</v>
      </c>
      <c r="V21" s="219">
        <f t="shared" si="5"/>
        <v>0.19</v>
      </c>
      <c r="W21" s="219" t="str">
        <f t="shared" si="6"/>
        <v/>
      </c>
      <c r="X21" s="220" t="str">
        <f>IFERROR(SUMIF(#REF!,$A21,#REF!),"")</f>
        <v/>
      </c>
      <c r="Y21" s="227" t="e">
        <f t="shared" si="7"/>
        <v>#VALUE!</v>
      </c>
      <c r="Z21" s="228" t="s">
        <v>366</v>
      </c>
      <c r="AA21" s="228"/>
      <c r="AB21" s="229" t="e">
        <f t="shared" si="8"/>
        <v>#VALUE!</v>
      </c>
    </row>
    <row r="22" customFormat="1" customHeight="1" spans="1:28">
      <c r="A22" s="182"/>
      <c r="B22" s="182"/>
      <c r="C22" s="183" t="s">
        <v>361</v>
      </c>
      <c r="D22" s="184" t="s">
        <v>98</v>
      </c>
      <c r="E22" s="184" t="s">
        <v>346</v>
      </c>
      <c r="F22" s="184" t="s">
        <v>347</v>
      </c>
      <c r="G22" s="184"/>
      <c r="H22" s="185">
        <v>45147</v>
      </c>
      <c r="I22" s="193" t="s">
        <v>367</v>
      </c>
      <c r="J22" s="194" t="s">
        <v>368</v>
      </c>
      <c r="K22" s="184">
        <v>2</v>
      </c>
      <c r="L22" s="195">
        <v>5185.4</v>
      </c>
      <c r="M22" s="195">
        <v>6061.94690265487</v>
      </c>
      <c r="N22" s="195">
        <f t="shared" si="11"/>
        <v>876.546902654871</v>
      </c>
      <c r="O22" s="196">
        <f t="shared" si="0"/>
        <v>0.144598248175183</v>
      </c>
      <c r="P22" s="195">
        <f t="shared" si="9"/>
        <v>181.858407079646</v>
      </c>
      <c r="Q22" s="214">
        <f t="shared" si="1"/>
        <v>363.716814159292</v>
      </c>
      <c r="R22" s="215">
        <f t="shared" si="2"/>
        <v>0.03</v>
      </c>
      <c r="S22" s="216">
        <f t="shared" si="3"/>
        <v>0.114598248175183</v>
      </c>
      <c r="T22" s="217">
        <f t="shared" si="4"/>
        <v>0.22</v>
      </c>
      <c r="U22" s="218">
        <v>0.06</v>
      </c>
      <c r="V22" s="219">
        <f t="shared" si="5"/>
        <v>0.19</v>
      </c>
      <c r="W22" s="219">
        <f t="shared" si="6"/>
        <v>-0.075401751824817</v>
      </c>
      <c r="X22" s="220" t="str">
        <f>IFERROR(SUMIF(#REF!,$A22,#REF!),"")</f>
        <v/>
      </c>
      <c r="Y22" s="227" t="e">
        <f t="shared" si="7"/>
        <v>#VALUE!</v>
      </c>
      <c r="Z22" s="228" t="s">
        <v>369</v>
      </c>
      <c r="AA22" s="228"/>
      <c r="AB22" s="229" t="e">
        <f t="shared" si="8"/>
        <v>#VALUE!</v>
      </c>
    </row>
    <row r="23" customFormat="1" customHeight="1" spans="1:28">
      <c r="A23" s="182"/>
      <c r="B23" s="182"/>
      <c r="C23" s="183" t="s">
        <v>361</v>
      </c>
      <c r="D23" s="184" t="s">
        <v>98</v>
      </c>
      <c r="E23" s="184" t="s">
        <v>346</v>
      </c>
      <c r="F23" s="184" t="s">
        <v>347</v>
      </c>
      <c r="G23" s="184"/>
      <c r="H23" s="185">
        <v>45147</v>
      </c>
      <c r="I23" s="193" t="s">
        <v>367</v>
      </c>
      <c r="J23" s="194" t="s">
        <v>368</v>
      </c>
      <c r="K23" s="184">
        <v>2</v>
      </c>
      <c r="L23" s="195">
        <v>5185.4</v>
      </c>
      <c r="M23" s="195">
        <v>6061.94690265487</v>
      </c>
      <c r="N23" s="195">
        <f t="shared" si="11"/>
        <v>876.546902654871</v>
      </c>
      <c r="O23" s="196">
        <f t="shared" si="0"/>
        <v>0.144598248175183</v>
      </c>
      <c r="P23" s="195">
        <f t="shared" si="9"/>
        <v>181.858407079646</v>
      </c>
      <c r="Q23" s="214">
        <f t="shared" si="1"/>
        <v>363.716814159292</v>
      </c>
      <c r="R23" s="215">
        <f t="shared" si="2"/>
        <v>0.03</v>
      </c>
      <c r="S23" s="216">
        <f t="shared" si="3"/>
        <v>0.114598248175183</v>
      </c>
      <c r="T23" s="217">
        <f t="shared" si="4"/>
        <v>0.22</v>
      </c>
      <c r="U23" s="218">
        <v>0.06</v>
      </c>
      <c r="V23" s="219">
        <f t="shared" si="5"/>
        <v>0.19</v>
      </c>
      <c r="W23" s="219">
        <f t="shared" si="6"/>
        <v>-0.075401751824817</v>
      </c>
      <c r="X23" s="220" t="str">
        <f>IFERROR(SUMIF(#REF!,$A23,#REF!),"")</f>
        <v/>
      </c>
      <c r="Y23" s="227" t="e">
        <f t="shared" si="7"/>
        <v>#VALUE!</v>
      </c>
      <c r="Z23" s="228" t="s">
        <v>369</v>
      </c>
      <c r="AA23" s="228"/>
      <c r="AB23" s="229" t="e">
        <f t="shared" si="8"/>
        <v>#VALUE!</v>
      </c>
    </row>
    <row r="24" customFormat="1" customHeight="1" spans="1:28">
      <c r="A24" s="182"/>
      <c r="B24" s="182"/>
      <c r="C24" s="183" t="s">
        <v>361</v>
      </c>
      <c r="D24" s="184" t="s">
        <v>98</v>
      </c>
      <c r="E24" s="184" t="s">
        <v>346</v>
      </c>
      <c r="F24" s="184" t="s">
        <v>347</v>
      </c>
      <c r="G24" s="184"/>
      <c r="H24" s="185">
        <v>45148</v>
      </c>
      <c r="I24" s="193" t="s">
        <v>362</v>
      </c>
      <c r="J24" s="194" t="s">
        <v>370</v>
      </c>
      <c r="K24" s="184">
        <v>1</v>
      </c>
      <c r="L24" s="195">
        <v>203.097345132743</v>
      </c>
      <c r="M24" s="195">
        <v>376.106194690266</v>
      </c>
      <c r="N24" s="195">
        <f t="shared" si="11"/>
        <v>173.008849557523</v>
      </c>
      <c r="O24" s="196">
        <f t="shared" si="0"/>
        <v>0.460000000000002</v>
      </c>
      <c r="P24" s="195">
        <f t="shared" si="9"/>
        <v>11.283185840708</v>
      </c>
      <c r="Q24" s="214">
        <f t="shared" si="1"/>
        <v>11.283185840708</v>
      </c>
      <c r="R24" s="215">
        <f t="shared" si="2"/>
        <v>0.03</v>
      </c>
      <c r="S24" s="216">
        <f t="shared" si="3"/>
        <v>0.430000000000002</v>
      </c>
      <c r="T24" s="217">
        <f t="shared" si="4"/>
        <v>0.22</v>
      </c>
      <c r="U24" s="218">
        <v>0.06</v>
      </c>
      <c r="V24" s="219">
        <f t="shared" si="5"/>
        <v>0.19</v>
      </c>
      <c r="W24" s="219" t="str">
        <f t="shared" si="6"/>
        <v/>
      </c>
      <c r="X24" s="220" t="str">
        <f>IFERROR(SUMIF(#REF!,$A24,#REF!),"")</f>
        <v/>
      </c>
      <c r="Y24" s="227" t="e">
        <f t="shared" si="7"/>
        <v>#VALUE!</v>
      </c>
      <c r="Z24" s="228" t="s">
        <v>371</v>
      </c>
      <c r="AA24" s="228"/>
      <c r="AB24" s="229" t="e">
        <f t="shared" si="8"/>
        <v>#VALUE!</v>
      </c>
    </row>
    <row r="25" customFormat="1" customHeight="1" spans="1:28">
      <c r="A25" s="182"/>
      <c r="B25" s="182"/>
      <c r="C25" s="183" t="s">
        <v>361</v>
      </c>
      <c r="D25" s="184" t="s">
        <v>98</v>
      </c>
      <c r="E25" s="184" t="s">
        <v>346</v>
      </c>
      <c r="F25" s="184" t="s">
        <v>347</v>
      </c>
      <c r="G25" s="184"/>
      <c r="H25" s="185">
        <v>45148</v>
      </c>
      <c r="I25" s="193" t="s">
        <v>362</v>
      </c>
      <c r="J25" s="194" t="s">
        <v>370</v>
      </c>
      <c r="K25" s="184">
        <v>1</v>
      </c>
      <c r="L25" s="195">
        <v>203.097345132743</v>
      </c>
      <c r="M25" s="195">
        <v>376.106194690266</v>
      </c>
      <c r="N25" s="195">
        <f t="shared" si="11"/>
        <v>173.008849557523</v>
      </c>
      <c r="O25" s="196">
        <f t="shared" si="0"/>
        <v>0.460000000000002</v>
      </c>
      <c r="P25" s="195">
        <f t="shared" si="9"/>
        <v>11.283185840708</v>
      </c>
      <c r="Q25" s="214">
        <f t="shared" si="1"/>
        <v>11.283185840708</v>
      </c>
      <c r="R25" s="215">
        <f t="shared" si="2"/>
        <v>0.03</v>
      </c>
      <c r="S25" s="216">
        <f t="shared" si="3"/>
        <v>0.430000000000002</v>
      </c>
      <c r="T25" s="217">
        <f t="shared" si="4"/>
        <v>0.22</v>
      </c>
      <c r="U25" s="218">
        <v>0.06</v>
      </c>
      <c r="V25" s="219">
        <f t="shared" si="5"/>
        <v>0.19</v>
      </c>
      <c r="W25" s="219" t="str">
        <f t="shared" si="6"/>
        <v/>
      </c>
      <c r="X25" s="220" t="str">
        <f>IFERROR(SUMIF(#REF!,$A25,#REF!),"")</f>
        <v/>
      </c>
      <c r="Y25" s="227" t="e">
        <f t="shared" si="7"/>
        <v>#VALUE!</v>
      </c>
      <c r="Z25" s="228" t="s">
        <v>371</v>
      </c>
      <c r="AA25" s="228"/>
      <c r="AB25" s="229" t="e">
        <f t="shared" si="8"/>
        <v>#VALUE!</v>
      </c>
    </row>
    <row r="26" customFormat="1" customHeight="1" spans="1:28">
      <c r="A26" s="182"/>
      <c r="B26" s="182"/>
      <c r="C26" s="183" t="s">
        <v>361</v>
      </c>
      <c r="D26" s="184" t="s">
        <v>98</v>
      </c>
      <c r="E26" s="184" t="s">
        <v>346</v>
      </c>
      <c r="F26" s="184" t="s">
        <v>347</v>
      </c>
      <c r="G26" s="184"/>
      <c r="H26" s="185">
        <v>45148</v>
      </c>
      <c r="I26" s="193" t="s">
        <v>367</v>
      </c>
      <c r="J26" s="194" t="s">
        <v>372</v>
      </c>
      <c r="K26" s="184">
        <v>2</v>
      </c>
      <c r="L26" s="195">
        <v>2997.52</v>
      </c>
      <c r="M26" s="195">
        <v>3539.82300884956</v>
      </c>
      <c r="N26" s="195">
        <f t="shared" si="11"/>
        <v>542.30300884956</v>
      </c>
      <c r="O26" s="196">
        <f t="shared" si="0"/>
        <v>0.153200600000001</v>
      </c>
      <c r="P26" s="195">
        <f t="shared" si="9"/>
        <v>106.194690265487</v>
      </c>
      <c r="Q26" s="214">
        <f t="shared" si="1"/>
        <v>212.389380530974</v>
      </c>
      <c r="R26" s="215">
        <f t="shared" si="2"/>
        <v>0.03</v>
      </c>
      <c r="S26" s="216">
        <f t="shared" si="3"/>
        <v>0.123200600000001</v>
      </c>
      <c r="T26" s="217">
        <f t="shared" si="4"/>
        <v>0.22</v>
      </c>
      <c r="U26" s="218">
        <v>0.06</v>
      </c>
      <c r="V26" s="219">
        <f t="shared" si="5"/>
        <v>0.19</v>
      </c>
      <c r="W26" s="219">
        <f t="shared" si="6"/>
        <v>-0.0667993999999993</v>
      </c>
      <c r="X26" s="220" t="str">
        <f>IFERROR(SUMIF(#REF!,$A26,#REF!),"")</f>
        <v/>
      </c>
      <c r="Y26" s="227" t="e">
        <f t="shared" si="7"/>
        <v>#VALUE!</v>
      </c>
      <c r="Z26" s="228" t="s">
        <v>373</v>
      </c>
      <c r="AA26" s="228"/>
      <c r="AB26" s="229" t="e">
        <f t="shared" si="8"/>
        <v>#VALUE!</v>
      </c>
    </row>
    <row r="27" customFormat="1" customHeight="1" spans="1:28">
      <c r="A27" s="182"/>
      <c r="B27" s="182"/>
      <c r="C27" s="183" t="s">
        <v>361</v>
      </c>
      <c r="D27" s="184" t="s">
        <v>98</v>
      </c>
      <c r="E27" s="184" t="s">
        <v>346</v>
      </c>
      <c r="F27" s="184" t="s">
        <v>347</v>
      </c>
      <c r="G27" s="184"/>
      <c r="H27" s="185">
        <v>45148</v>
      </c>
      <c r="I27" s="193" t="s">
        <v>367</v>
      </c>
      <c r="J27" s="194" t="s">
        <v>372</v>
      </c>
      <c r="K27" s="184">
        <v>1</v>
      </c>
      <c r="L27" s="195">
        <v>2997.52</v>
      </c>
      <c r="M27" s="195">
        <v>3539.82300884956</v>
      </c>
      <c r="N27" s="195">
        <f t="shared" si="11"/>
        <v>542.30300884956</v>
      </c>
      <c r="O27" s="196">
        <f t="shared" si="0"/>
        <v>0.153200600000001</v>
      </c>
      <c r="P27" s="195">
        <f t="shared" si="9"/>
        <v>106.194690265487</v>
      </c>
      <c r="Q27" s="214">
        <f t="shared" si="1"/>
        <v>106.194690265487</v>
      </c>
      <c r="R27" s="215">
        <f t="shared" si="2"/>
        <v>0.03</v>
      </c>
      <c r="S27" s="216">
        <f t="shared" si="3"/>
        <v>0.123200600000001</v>
      </c>
      <c r="T27" s="217">
        <f t="shared" si="4"/>
        <v>0.22</v>
      </c>
      <c r="U27" s="218">
        <v>0.06</v>
      </c>
      <c r="V27" s="219">
        <f t="shared" si="5"/>
        <v>0.19</v>
      </c>
      <c r="W27" s="219">
        <f t="shared" si="6"/>
        <v>-0.0667993999999993</v>
      </c>
      <c r="X27" s="220" t="str">
        <f>IFERROR(SUMIF(#REF!,$A27,#REF!),"")</f>
        <v/>
      </c>
      <c r="Y27" s="227" t="e">
        <f t="shared" si="7"/>
        <v>#VALUE!</v>
      </c>
      <c r="Z27" s="228" t="s">
        <v>373</v>
      </c>
      <c r="AA27" s="228"/>
      <c r="AB27" s="229" t="e">
        <f t="shared" si="8"/>
        <v>#VALUE!</v>
      </c>
    </row>
    <row r="28" customFormat="1" customHeight="1" spans="1:28">
      <c r="A28" s="182"/>
      <c r="B28" s="182"/>
      <c r="C28" s="183" t="s">
        <v>361</v>
      </c>
      <c r="D28" s="184" t="s">
        <v>98</v>
      </c>
      <c r="E28" s="184" t="s">
        <v>346</v>
      </c>
      <c r="F28" s="184" t="s">
        <v>347</v>
      </c>
      <c r="G28" s="184"/>
      <c r="H28" s="185">
        <v>45152</v>
      </c>
      <c r="I28" s="193" t="s">
        <v>367</v>
      </c>
      <c r="J28" s="194" t="s">
        <v>374</v>
      </c>
      <c r="K28" s="184">
        <v>1</v>
      </c>
      <c r="L28" s="195">
        <v>5249.33</v>
      </c>
      <c r="M28" s="195">
        <v>6429.20353982301</v>
      </c>
      <c r="N28" s="195">
        <f t="shared" si="11"/>
        <v>1179.87353982301</v>
      </c>
      <c r="O28" s="196">
        <f t="shared" si="0"/>
        <v>0.183517838953889</v>
      </c>
      <c r="P28" s="195">
        <f t="shared" si="9"/>
        <v>192.87610619469</v>
      </c>
      <c r="Q28" s="214">
        <f t="shared" si="1"/>
        <v>192.87610619469</v>
      </c>
      <c r="R28" s="215">
        <f t="shared" si="2"/>
        <v>0.03</v>
      </c>
      <c r="S28" s="216">
        <f t="shared" si="3"/>
        <v>0.153517838953889</v>
      </c>
      <c r="T28" s="217">
        <f t="shared" si="4"/>
        <v>0.22</v>
      </c>
      <c r="U28" s="218">
        <v>0.06</v>
      </c>
      <c r="V28" s="219">
        <f t="shared" si="5"/>
        <v>0.19</v>
      </c>
      <c r="W28" s="219">
        <f t="shared" si="6"/>
        <v>-0.0364821610461113</v>
      </c>
      <c r="X28" s="220" t="str">
        <f>IFERROR(SUMIF(#REF!,$A28,#REF!),"")</f>
        <v/>
      </c>
      <c r="Y28" s="227" t="e">
        <f t="shared" si="7"/>
        <v>#VALUE!</v>
      </c>
      <c r="Z28" s="228" t="s">
        <v>375</v>
      </c>
      <c r="AA28" s="228"/>
      <c r="AB28" s="229" t="e">
        <f t="shared" si="8"/>
        <v>#VALUE!</v>
      </c>
    </row>
    <row r="29" customFormat="1" customHeight="1" spans="1:28">
      <c r="A29" s="182"/>
      <c r="B29" s="182"/>
      <c r="C29" s="183" t="s">
        <v>361</v>
      </c>
      <c r="D29" s="184" t="s">
        <v>98</v>
      </c>
      <c r="E29" s="184" t="s">
        <v>346</v>
      </c>
      <c r="F29" s="184" t="s">
        <v>347</v>
      </c>
      <c r="G29" s="184"/>
      <c r="H29" s="185">
        <v>45152</v>
      </c>
      <c r="I29" s="193" t="s">
        <v>367</v>
      </c>
      <c r="J29" s="194" t="s">
        <v>376</v>
      </c>
      <c r="K29" s="184">
        <v>6</v>
      </c>
      <c r="L29" s="195">
        <v>3186.59292035398</v>
      </c>
      <c r="M29" s="195">
        <v>4070.79646017699</v>
      </c>
      <c r="N29" s="195">
        <f t="shared" si="11"/>
        <v>884.20353982301</v>
      </c>
      <c r="O29" s="196">
        <f t="shared" si="0"/>
        <v>0.217206521739131</v>
      </c>
      <c r="P29" s="195">
        <f t="shared" si="9"/>
        <v>122.12389380531</v>
      </c>
      <c r="Q29" s="214">
        <f t="shared" si="1"/>
        <v>732.743362831858</v>
      </c>
      <c r="R29" s="215">
        <f t="shared" si="2"/>
        <v>0.03</v>
      </c>
      <c r="S29" s="216">
        <f t="shared" si="3"/>
        <v>0.187206521739131</v>
      </c>
      <c r="T29" s="217">
        <f t="shared" si="4"/>
        <v>0.22</v>
      </c>
      <c r="U29" s="218">
        <v>0.06</v>
      </c>
      <c r="V29" s="219">
        <f t="shared" si="5"/>
        <v>0.19</v>
      </c>
      <c r="W29" s="219">
        <f t="shared" si="6"/>
        <v>-0.0027934782608692</v>
      </c>
      <c r="X29" s="220" t="str">
        <f>IFERROR(SUMIF(#REF!,$A29,#REF!),"")</f>
        <v/>
      </c>
      <c r="Y29" s="227" t="e">
        <f t="shared" si="7"/>
        <v>#VALUE!</v>
      </c>
      <c r="Z29" s="228" t="s">
        <v>377</v>
      </c>
      <c r="AA29" s="228"/>
      <c r="AB29" s="229" t="e">
        <f t="shared" si="8"/>
        <v>#VALUE!</v>
      </c>
    </row>
    <row r="30" customFormat="1" customHeight="1" spans="1:28">
      <c r="A30" s="182"/>
      <c r="B30" s="182"/>
      <c r="C30" s="183" t="s">
        <v>361</v>
      </c>
      <c r="D30" s="184" t="s">
        <v>98</v>
      </c>
      <c r="E30" s="184" t="s">
        <v>346</v>
      </c>
      <c r="F30" s="184" t="s">
        <v>347</v>
      </c>
      <c r="G30" s="184"/>
      <c r="H30" s="185">
        <v>45152</v>
      </c>
      <c r="I30" s="193" t="s">
        <v>367</v>
      </c>
      <c r="J30" s="194" t="s">
        <v>378</v>
      </c>
      <c r="K30" s="184">
        <v>1</v>
      </c>
      <c r="L30" s="195">
        <v>5938.732</v>
      </c>
      <c r="M30" s="195">
        <v>7123.89380530974</v>
      </c>
      <c r="N30" s="195">
        <f t="shared" si="11"/>
        <v>1185.16180530974</v>
      </c>
      <c r="O30" s="196">
        <f t="shared" si="0"/>
        <v>0.166364327950311</v>
      </c>
      <c r="P30" s="195">
        <f t="shared" si="9"/>
        <v>213.716814159292</v>
      </c>
      <c r="Q30" s="214">
        <f t="shared" si="1"/>
        <v>213.716814159292</v>
      </c>
      <c r="R30" s="215">
        <f t="shared" si="2"/>
        <v>0.03</v>
      </c>
      <c r="S30" s="216">
        <f t="shared" si="3"/>
        <v>0.136364327950311</v>
      </c>
      <c r="T30" s="217">
        <f t="shared" si="4"/>
        <v>0.22</v>
      </c>
      <c r="U30" s="218">
        <v>0.06</v>
      </c>
      <c r="V30" s="219">
        <f t="shared" si="5"/>
        <v>0.19</v>
      </c>
      <c r="W30" s="219">
        <f t="shared" si="6"/>
        <v>-0.0536356720496888</v>
      </c>
      <c r="X30" s="220" t="str">
        <f>IFERROR(SUMIF(#REF!,$A30,#REF!),"")</f>
        <v/>
      </c>
      <c r="Y30" s="227" t="e">
        <f t="shared" si="7"/>
        <v>#VALUE!</v>
      </c>
      <c r="Z30" s="228" t="s">
        <v>379</v>
      </c>
      <c r="AA30" s="228"/>
      <c r="AB30" s="229" t="e">
        <f t="shared" si="8"/>
        <v>#VALUE!</v>
      </c>
    </row>
    <row r="31" customFormat="1" customHeight="1" spans="1:28">
      <c r="A31" s="182"/>
      <c r="B31" s="182"/>
      <c r="C31" s="183" t="s">
        <v>361</v>
      </c>
      <c r="D31" s="184" t="s">
        <v>98</v>
      </c>
      <c r="E31" s="184" t="s">
        <v>346</v>
      </c>
      <c r="F31" s="184" t="s">
        <v>347</v>
      </c>
      <c r="G31" s="184"/>
      <c r="H31" s="185">
        <v>45152</v>
      </c>
      <c r="I31" s="193" t="s">
        <v>367</v>
      </c>
      <c r="J31" s="194" t="s">
        <v>378</v>
      </c>
      <c r="K31" s="184">
        <v>1</v>
      </c>
      <c r="L31" s="195">
        <v>5938.732</v>
      </c>
      <c r="M31" s="195">
        <v>7123.89380530974</v>
      </c>
      <c r="N31" s="195">
        <f t="shared" ref="N31:N44" si="12">M31-L31</f>
        <v>1185.16180530974</v>
      </c>
      <c r="O31" s="196">
        <f t="shared" si="0"/>
        <v>0.166364327950311</v>
      </c>
      <c r="P31" s="195">
        <f t="shared" si="9"/>
        <v>213.716814159292</v>
      </c>
      <c r="Q31" s="214">
        <f t="shared" si="1"/>
        <v>213.716814159292</v>
      </c>
      <c r="R31" s="215">
        <f t="shared" si="2"/>
        <v>0.03</v>
      </c>
      <c r="S31" s="216">
        <f t="shared" si="3"/>
        <v>0.136364327950311</v>
      </c>
      <c r="T31" s="217">
        <f t="shared" si="4"/>
        <v>0.22</v>
      </c>
      <c r="U31" s="218">
        <v>0.06</v>
      </c>
      <c r="V31" s="219">
        <f t="shared" si="5"/>
        <v>0.19</v>
      </c>
      <c r="W31" s="219">
        <f t="shared" si="6"/>
        <v>-0.0536356720496888</v>
      </c>
      <c r="X31" s="220" t="str">
        <f>IFERROR(SUMIF(#REF!,$A31,#REF!),"")</f>
        <v/>
      </c>
      <c r="Y31" s="227" t="e">
        <f t="shared" si="7"/>
        <v>#VALUE!</v>
      </c>
      <c r="Z31" s="228" t="s">
        <v>379</v>
      </c>
      <c r="AA31" s="228"/>
      <c r="AB31" s="229" t="e">
        <f t="shared" si="8"/>
        <v>#VALUE!</v>
      </c>
    </row>
    <row r="32" customFormat="1" customHeight="1" spans="1:28">
      <c r="A32" s="182"/>
      <c r="B32" s="182"/>
      <c r="C32" s="183" t="s">
        <v>361</v>
      </c>
      <c r="D32" s="184" t="s">
        <v>98</v>
      </c>
      <c r="E32" s="184" t="s">
        <v>346</v>
      </c>
      <c r="F32" s="184" t="s">
        <v>347</v>
      </c>
      <c r="G32" s="184"/>
      <c r="H32" s="185">
        <v>45152</v>
      </c>
      <c r="I32" s="193" t="s">
        <v>367</v>
      </c>
      <c r="J32" s="194" t="s">
        <v>378</v>
      </c>
      <c r="K32" s="184">
        <v>2</v>
      </c>
      <c r="L32" s="195">
        <v>5938.732</v>
      </c>
      <c r="M32" s="195">
        <v>7123.89380530974</v>
      </c>
      <c r="N32" s="195">
        <f t="shared" si="12"/>
        <v>1185.16180530974</v>
      </c>
      <c r="O32" s="196">
        <f t="shared" si="0"/>
        <v>0.166364327950311</v>
      </c>
      <c r="P32" s="195">
        <f t="shared" si="9"/>
        <v>213.716814159292</v>
      </c>
      <c r="Q32" s="214">
        <f t="shared" si="1"/>
        <v>427.433628318584</v>
      </c>
      <c r="R32" s="215">
        <f t="shared" si="2"/>
        <v>0.03</v>
      </c>
      <c r="S32" s="216">
        <f t="shared" si="3"/>
        <v>0.136364327950311</v>
      </c>
      <c r="T32" s="217">
        <f t="shared" si="4"/>
        <v>0.22</v>
      </c>
      <c r="U32" s="218">
        <v>0.06</v>
      </c>
      <c r="V32" s="219">
        <f t="shared" si="5"/>
        <v>0.19</v>
      </c>
      <c r="W32" s="219">
        <f t="shared" si="6"/>
        <v>-0.0536356720496888</v>
      </c>
      <c r="X32" s="220" t="str">
        <f>IFERROR(SUMIF(#REF!,$A32,#REF!),"")</f>
        <v/>
      </c>
      <c r="Y32" s="227" t="e">
        <f t="shared" si="7"/>
        <v>#VALUE!</v>
      </c>
      <c r="Z32" s="228" t="s">
        <v>379</v>
      </c>
      <c r="AA32" s="228"/>
      <c r="AB32" s="229" t="e">
        <f t="shared" si="8"/>
        <v>#VALUE!</v>
      </c>
    </row>
    <row r="33" customFormat="1" customHeight="1" spans="1:28">
      <c r="A33" s="182"/>
      <c r="B33" s="182"/>
      <c r="C33" s="183" t="s">
        <v>361</v>
      </c>
      <c r="D33" s="184" t="s">
        <v>98</v>
      </c>
      <c r="E33" s="184" t="s">
        <v>346</v>
      </c>
      <c r="F33" s="184" t="s">
        <v>347</v>
      </c>
      <c r="G33" s="184"/>
      <c r="H33" s="185">
        <v>45152</v>
      </c>
      <c r="I33" s="193" t="s">
        <v>367</v>
      </c>
      <c r="J33" s="194" t="s">
        <v>378</v>
      </c>
      <c r="K33" s="184">
        <v>1</v>
      </c>
      <c r="L33" s="195">
        <v>5938.732</v>
      </c>
      <c r="M33" s="195">
        <v>7123.89380530974</v>
      </c>
      <c r="N33" s="195">
        <f t="shared" si="12"/>
        <v>1185.16180530974</v>
      </c>
      <c r="O33" s="196">
        <f t="shared" si="0"/>
        <v>0.166364327950311</v>
      </c>
      <c r="P33" s="195">
        <f t="shared" si="9"/>
        <v>213.716814159292</v>
      </c>
      <c r="Q33" s="214">
        <f t="shared" si="1"/>
        <v>213.716814159292</v>
      </c>
      <c r="R33" s="215">
        <f t="shared" si="2"/>
        <v>0.03</v>
      </c>
      <c r="S33" s="216">
        <f t="shared" si="3"/>
        <v>0.136364327950311</v>
      </c>
      <c r="T33" s="217">
        <f t="shared" si="4"/>
        <v>0.22</v>
      </c>
      <c r="U33" s="218">
        <v>0.06</v>
      </c>
      <c r="V33" s="219">
        <f t="shared" si="5"/>
        <v>0.19</v>
      </c>
      <c r="W33" s="219">
        <f t="shared" si="6"/>
        <v>-0.0536356720496888</v>
      </c>
      <c r="X33" s="220" t="str">
        <f>IFERROR(SUMIF(#REF!,$A33,#REF!),"")</f>
        <v/>
      </c>
      <c r="Y33" s="227" t="e">
        <f t="shared" si="7"/>
        <v>#VALUE!</v>
      </c>
      <c r="Z33" s="228" t="s">
        <v>379</v>
      </c>
      <c r="AA33" s="228"/>
      <c r="AB33" s="229" t="e">
        <f t="shared" si="8"/>
        <v>#VALUE!</v>
      </c>
    </row>
    <row r="34" customFormat="1" customHeight="1" spans="1:28">
      <c r="A34" s="182"/>
      <c r="B34" s="182"/>
      <c r="C34" s="183" t="s">
        <v>361</v>
      </c>
      <c r="D34" s="184" t="s">
        <v>98</v>
      </c>
      <c r="E34" s="184" t="s">
        <v>346</v>
      </c>
      <c r="F34" s="184" t="s">
        <v>347</v>
      </c>
      <c r="G34" s="184"/>
      <c r="H34" s="185">
        <v>45154</v>
      </c>
      <c r="I34" s="193" t="s">
        <v>362</v>
      </c>
      <c r="J34" s="194" t="s">
        <v>380</v>
      </c>
      <c r="K34" s="184">
        <v>5</v>
      </c>
      <c r="L34" s="195">
        <v>47.0796460176991</v>
      </c>
      <c r="M34" s="195">
        <v>68.141592920354</v>
      </c>
      <c r="N34" s="195">
        <f t="shared" si="12"/>
        <v>21.0619469026549</v>
      </c>
      <c r="O34" s="196">
        <f t="shared" si="0"/>
        <v>0.30909090909091</v>
      </c>
      <c r="P34" s="195">
        <f t="shared" si="9"/>
        <v>2.04424778761062</v>
      </c>
      <c r="Q34" s="214">
        <f t="shared" si="1"/>
        <v>10.2212389380531</v>
      </c>
      <c r="R34" s="215">
        <f t="shared" si="2"/>
        <v>0.03</v>
      </c>
      <c r="S34" s="216">
        <f t="shared" si="3"/>
        <v>0.27909090909091</v>
      </c>
      <c r="T34" s="217">
        <f t="shared" si="4"/>
        <v>0.22</v>
      </c>
      <c r="U34" s="218">
        <v>0.06</v>
      </c>
      <c r="V34" s="219">
        <f t="shared" si="5"/>
        <v>0.19</v>
      </c>
      <c r="W34" s="219" t="str">
        <f t="shared" si="6"/>
        <v/>
      </c>
      <c r="X34" s="220" t="str">
        <f>IFERROR(SUMIF(#REF!,$A34,#REF!),"")</f>
        <v/>
      </c>
      <c r="Y34" s="227" t="e">
        <f t="shared" si="7"/>
        <v>#VALUE!</v>
      </c>
      <c r="Z34" s="228" t="s">
        <v>381</v>
      </c>
      <c r="AA34" s="228"/>
      <c r="AB34" s="229" t="e">
        <f t="shared" si="8"/>
        <v>#VALUE!</v>
      </c>
    </row>
    <row r="35" customFormat="1" customHeight="1" spans="1:28">
      <c r="A35" s="182"/>
      <c r="B35" s="182"/>
      <c r="C35" s="183" t="s">
        <v>361</v>
      </c>
      <c r="D35" s="184" t="s">
        <v>98</v>
      </c>
      <c r="E35" s="184" t="s">
        <v>346</v>
      </c>
      <c r="F35" s="184" t="s">
        <v>347</v>
      </c>
      <c r="G35" s="184"/>
      <c r="H35" s="185">
        <v>45155</v>
      </c>
      <c r="I35" s="193" t="s">
        <v>367</v>
      </c>
      <c r="J35" s="194" t="s">
        <v>382</v>
      </c>
      <c r="K35" s="184">
        <v>16</v>
      </c>
      <c r="L35" s="195">
        <v>4981</v>
      </c>
      <c r="M35" s="195">
        <v>5530.97345132743</v>
      </c>
      <c r="N35" s="195">
        <f t="shared" si="12"/>
        <v>549.97345132743</v>
      </c>
      <c r="O35" s="196">
        <f t="shared" si="0"/>
        <v>0.0994351999999994</v>
      </c>
      <c r="P35" s="195">
        <f t="shared" si="9"/>
        <v>165.929203539823</v>
      </c>
      <c r="Q35" s="214">
        <f t="shared" si="1"/>
        <v>2654.86725663717</v>
      </c>
      <c r="R35" s="215">
        <f t="shared" si="2"/>
        <v>0.03</v>
      </c>
      <c r="S35" s="216">
        <f t="shared" si="3"/>
        <v>0.0694351999999994</v>
      </c>
      <c r="T35" s="217">
        <f t="shared" si="4"/>
        <v>0.22</v>
      </c>
      <c r="U35" s="218">
        <v>0.06</v>
      </c>
      <c r="V35" s="219">
        <f t="shared" si="5"/>
        <v>0.19</v>
      </c>
      <c r="W35" s="219">
        <f t="shared" si="6"/>
        <v>-0.120564800000001</v>
      </c>
      <c r="X35" s="220" t="str">
        <f>IFERROR(SUMIF(#REF!,$A35,#REF!),"")</f>
        <v/>
      </c>
      <c r="Y35" s="227" t="e">
        <f t="shared" si="7"/>
        <v>#VALUE!</v>
      </c>
      <c r="Z35" s="228" t="s">
        <v>383</v>
      </c>
      <c r="AA35" s="228"/>
      <c r="AB35" s="229" t="e">
        <f t="shared" si="8"/>
        <v>#VALUE!</v>
      </c>
    </row>
    <row r="36" customFormat="1" customHeight="1" spans="1:28">
      <c r="A36" s="182"/>
      <c r="B36" s="182"/>
      <c r="C36" s="183" t="s">
        <v>361</v>
      </c>
      <c r="D36" s="184" t="s">
        <v>98</v>
      </c>
      <c r="E36" s="184" t="s">
        <v>346</v>
      </c>
      <c r="F36" s="184" t="s">
        <v>347</v>
      </c>
      <c r="G36" s="184"/>
      <c r="H36" s="185">
        <v>45155</v>
      </c>
      <c r="I36" s="193" t="s">
        <v>362</v>
      </c>
      <c r="J36" s="194" t="s">
        <v>384</v>
      </c>
      <c r="K36" s="184">
        <v>4</v>
      </c>
      <c r="L36" s="195">
        <v>28.3185840707965</v>
      </c>
      <c r="M36" s="195">
        <v>38.0530973451327</v>
      </c>
      <c r="N36" s="195">
        <f t="shared" si="12"/>
        <v>9.7345132743362</v>
      </c>
      <c r="O36" s="196">
        <f t="shared" si="0"/>
        <v>0.25581395348837</v>
      </c>
      <c r="P36" s="195">
        <f t="shared" si="9"/>
        <v>1.14159292035398</v>
      </c>
      <c r="Q36" s="214">
        <f t="shared" si="1"/>
        <v>4.56637168141592</v>
      </c>
      <c r="R36" s="215">
        <f t="shared" si="2"/>
        <v>0.03</v>
      </c>
      <c r="S36" s="216">
        <f t="shared" si="3"/>
        <v>0.22581395348837</v>
      </c>
      <c r="T36" s="217">
        <f t="shared" si="4"/>
        <v>0.22</v>
      </c>
      <c r="U36" s="218">
        <v>0.06</v>
      </c>
      <c r="V36" s="219">
        <f t="shared" si="5"/>
        <v>0.19</v>
      </c>
      <c r="W36" s="219" t="str">
        <f t="shared" si="6"/>
        <v/>
      </c>
      <c r="X36" s="220" t="str">
        <f>IFERROR(SUMIF(#REF!,$A36,#REF!),"")</f>
        <v/>
      </c>
      <c r="Y36" s="227" t="e">
        <f t="shared" si="7"/>
        <v>#VALUE!</v>
      </c>
      <c r="Z36" s="228" t="s">
        <v>383</v>
      </c>
      <c r="AA36" s="228"/>
      <c r="AB36" s="229" t="e">
        <f t="shared" si="8"/>
        <v>#VALUE!</v>
      </c>
    </row>
    <row r="37" customFormat="1" customHeight="1" spans="1:28">
      <c r="A37" s="182"/>
      <c r="B37" s="182"/>
      <c r="C37" s="183" t="s">
        <v>361</v>
      </c>
      <c r="D37" s="184" t="s">
        <v>98</v>
      </c>
      <c r="E37" s="184" t="s">
        <v>346</v>
      </c>
      <c r="F37" s="184" t="s">
        <v>347</v>
      </c>
      <c r="G37" s="184"/>
      <c r="H37" s="185">
        <v>45156</v>
      </c>
      <c r="I37" s="193" t="s">
        <v>367</v>
      </c>
      <c r="J37" s="194" t="s">
        <v>385</v>
      </c>
      <c r="K37" s="184">
        <v>1</v>
      </c>
      <c r="L37" s="195">
        <v>5750</v>
      </c>
      <c r="M37" s="195">
        <v>7433.62831858407</v>
      </c>
      <c r="N37" s="195">
        <f t="shared" si="12"/>
        <v>1683.62831858407</v>
      </c>
      <c r="O37" s="196">
        <f t="shared" si="0"/>
        <v>0.226488095238095</v>
      </c>
      <c r="P37" s="195">
        <f t="shared" ref="P37:P68" si="13">M37*0.03</f>
        <v>223.008849557522</v>
      </c>
      <c r="Q37" s="214">
        <f t="shared" si="1"/>
        <v>223.008849557522</v>
      </c>
      <c r="R37" s="215">
        <f t="shared" si="2"/>
        <v>0.03</v>
      </c>
      <c r="S37" s="216">
        <f t="shared" si="3"/>
        <v>0.196488095238095</v>
      </c>
      <c r="T37" s="217">
        <f t="shared" si="4"/>
        <v>0.22</v>
      </c>
      <c r="U37" s="218">
        <v>0.06</v>
      </c>
      <c r="V37" s="219">
        <f t="shared" si="5"/>
        <v>0.19</v>
      </c>
      <c r="W37" s="219" t="str">
        <f t="shared" si="6"/>
        <v/>
      </c>
      <c r="X37" s="220" t="str">
        <f>IFERROR(SUMIF(#REF!,$A37,#REF!),"")</f>
        <v/>
      </c>
      <c r="Y37" s="227" t="e">
        <f t="shared" si="7"/>
        <v>#VALUE!</v>
      </c>
      <c r="Z37" s="228" t="s">
        <v>386</v>
      </c>
      <c r="AA37" s="228"/>
      <c r="AB37" s="229" t="e">
        <f t="shared" si="8"/>
        <v>#VALUE!</v>
      </c>
    </row>
    <row r="38" customFormat="1" customHeight="1" spans="1:28">
      <c r="A38" s="182"/>
      <c r="B38" s="182"/>
      <c r="C38" s="183" t="s">
        <v>361</v>
      </c>
      <c r="D38" s="184" t="s">
        <v>98</v>
      </c>
      <c r="E38" s="184" t="s">
        <v>346</v>
      </c>
      <c r="F38" s="184" t="s">
        <v>347</v>
      </c>
      <c r="G38" s="184"/>
      <c r="H38" s="185">
        <v>45156</v>
      </c>
      <c r="I38" s="193" t="s">
        <v>367</v>
      </c>
      <c r="J38" s="194" t="s">
        <v>385</v>
      </c>
      <c r="K38" s="184">
        <v>1</v>
      </c>
      <c r="L38" s="195">
        <v>5750</v>
      </c>
      <c r="M38" s="195">
        <v>7433.62831858407</v>
      </c>
      <c r="N38" s="195">
        <f t="shared" si="12"/>
        <v>1683.62831858407</v>
      </c>
      <c r="O38" s="196">
        <f t="shared" si="0"/>
        <v>0.226488095238095</v>
      </c>
      <c r="P38" s="195">
        <f t="shared" si="13"/>
        <v>223.008849557522</v>
      </c>
      <c r="Q38" s="214">
        <f t="shared" si="1"/>
        <v>223.008849557522</v>
      </c>
      <c r="R38" s="215">
        <f t="shared" si="2"/>
        <v>0.03</v>
      </c>
      <c r="S38" s="216">
        <f t="shared" si="3"/>
        <v>0.196488095238095</v>
      </c>
      <c r="T38" s="217">
        <f t="shared" si="4"/>
        <v>0.22</v>
      </c>
      <c r="U38" s="218">
        <v>0.06</v>
      </c>
      <c r="V38" s="219">
        <f t="shared" si="5"/>
        <v>0.19</v>
      </c>
      <c r="W38" s="219" t="str">
        <f t="shared" si="6"/>
        <v/>
      </c>
      <c r="X38" s="220" t="str">
        <f>IFERROR(SUMIF(#REF!,$A38,#REF!),"")</f>
        <v/>
      </c>
      <c r="Y38" s="227" t="e">
        <f t="shared" si="7"/>
        <v>#VALUE!</v>
      </c>
      <c r="Z38" s="228" t="s">
        <v>386</v>
      </c>
      <c r="AA38" s="228"/>
      <c r="AB38" s="229" t="e">
        <f t="shared" si="8"/>
        <v>#VALUE!</v>
      </c>
    </row>
    <row r="39" customFormat="1" customHeight="1" spans="1:28">
      <c r="A39" s="182"/>
      <c r="B39" s="182"/>
      <c r="C39" s="183" t="s">
        <v>361</v>
      </c>
      <c r="D39" s="184" t="s">
        <v>98</v>
      </c>
      <c r="E39" s="184" t="s">
        <v>346</v>
      </c>
      <c r="F39" s="184" t="s">
        <v>347</v>
      </c>
      <c r="G39" s="184"/>
      <c r="H39" s="185">
        <v>45166</v>
      </c>
      <c r="I39" s="193" t="s">
        <v>367</v>
      </c>
      <c r="J39" s="194" t="s">
        <v>378</v>
      </c>
      <c r="K39" s="184">
        <v>3</v>
      </c>
      <c r="L39" s="195">
        <v>5938.732</v>
      </c>
      <c r="M39" s="195">
        <v>7123.89380530974</v>
      </c>
      <c r="N39" s="195">
        <f t="shared" si="12"/>
        <v>1185.16180530974</v>
      </c>
      <c r="O39" s="196">
        <f t="shared" si="0"/>
        <v>0.166364327950311</v>
      </c>
      <c r="P39" s="195">
        <f t="shared" si="13"/>
        <v>213.716814159292</v>
      </c>
      <c r="Q39" s="214">
        <f t="shared" si="1"/>
        <v>641.150442477877</v>
      </c>
      <c r="R39" s="215">
        <f t="shared" si="2"/>
        <v>0.03</v>
      </c>
      <c r="S39" s="216">
        <f t="shared" si="3"/>
        <v>0.136364327950311</v>
      </c>
      <c r="T39" s="217">
        <f t="shared" si="4"/>
        <v>0.22</v>
      </c>
      <c r="U39" s="218">
        <v>0.06</v>
      </c>
      <c r="V39" s="219">
        <f t="shared" si="5"/>
        <v>0.19</v>
      </c>
      <c r="W39" s="219">
        <f t="shared" si="6"/>
        <v>-0.0536356720496888</v>
      </c>
      <c r="X39" s="220" t="str">
        <f>IFERROR(SUMIF(#REF!,$A39,#REF!),"")</f>
        <v/>
      </c>
      <c r="Y39" s="227" t="e">
        <f t="shared" si="7"/>
        <v>#VALUE!</v>
      </c>
      <c r="Z39" s="228" t="s">
        <v>387</v>
      </c>
      <c r="AA39" s="228"/>
      <c r="AB39" s="229" t="e">
        <f t="shared" si="8"/>
        <v>#VALUE!</v>
      </c>
    </row>
    <row r="40" customFormat="1" customHeight="1" spans="1:28">
      <c r="A40" s="182"/>
      <c r="B40" s="182"/>
      <c r="C40" s="183" t="s">
        <v>361</v>
      </c>
      <c r="D40" s="184" t="s">
        <v>98</v>
      </c>
      <c r="E40" s="184" t="s">
        <v>346</v>
      </c>
      <c r="F40" s="184" t="s">
        <v>347</v>
      </c>
      <c r="G40" s="184"/>
      <c r="H40" s="185">
        <v>45166</v>
      </c>
      <c r="I40" s="193" t="s">
        <v>367</v>
      </c>
      <c r="J40" s="194" t="s">
        <v>378</v>
      </c>
      <c r="K40" s="184">
        <v>3</v>
      </c>
      <c r="L40" s="195">
        <v>5938.732</v>
      </c>
      <c r="M40" s="195">
        <v>7123.89380530974</v>
      </c>
      <c r="N40" s="195">
        <f t="shared" si="12"/>
        <v>1185.16180530974</v>
      </c>
      <c r="O40" s="196">
        <f t="shared" si="0"/>
        <v>0.166364327950311</v>
      </c>
      <c r="P40" s="195">
        <f t="shared" si="13"/>
        <v>213.716814159292</v>
      </c>
      <c r="Q40" s="214">
        <f t="shared" si="1"/>
        <v>641.150442477877</v>
      </c>
      <c r="R40" s="215">
        <f t="shared" si="2"/>
        <v>0.03</v>
      </c>
      <c r="S40" s="216">
        <f t="shared" si="3"/>
        <v>0.136364327950311</v>
      </c>
      <c r="T40" s="217">
        <f t="shared" si="4"/>
        <v>0.22</v>
      </c>
      <c r="U40" s="218">
        <v>0.06</v>
      </c>
      <c r="V40" s="219">
        <f t="shared" si="5"/>
        <v>0.19</v>
      </c>
      <c r="W40" s="219">
        <f t="shared" si="6"/>
        <v>-0.0536356720496888</v>
      </c>
      <c r="X40" s="220" t="str">
        <f>IFERROR(SUMIF(#REF!,$A40,#REF!),"")</f>
        <v/>
      </c>
      <c r="Y40" s="227" t="e">
        <f t="shared" si="7"/>
        <v>#VALUE!</v>
      </c>
      <c r="Z40" s="228" t="s">
        <v>388</v>
      </c>
      <c r="AA40" s="228"/>
      <c r="AB40" s="229" t="e">
        <f t="shared" si="8"/>
        <v>#VALUE!</v>
      </c>
    </row>
    <row r="41" customFormat="1" customHeight="1" spans="1:28">
      <c r="A41" s="182"/>
      <c r="B41" s="182"/>
      <c r="C41" s="183" t="s">
        <v>361</v>
      </c>
      <c r="D41" s="184" t="s">
        <v>98</v>
      </c>
      <c r="E41" s="184" t="s">
        <v>346</v>
      </c>
      <c r="F41" s="184" t="s">
        <v>347</v>
      </c>
      <c r="G41" s="184"/>
      <c r="H41" s="185">
        <v>45166</v>
      </c>
      <c r="I41" s="193" t="s">
        <v>367</v>
      </c>
      <c r="J41" s="194" t="s">
        <v>389</v>
      </c>
      <c r="K41" s="184">
        <v>2</v>
      </c>
      <c r="L41" s="195">
        <v>318.58407079646</v>
      </c>
      <c r="M41" s="195">
        <v>393.805309734513</v>
      </c>
      <c r="N41" s="195">
        <f t="shared" si="12"/>
        <v>75.221238938053</v>
      </c>
      <c r="O41" s="196">
        <f t="shared" si="0"/>
        <v>0.191011235955056</v>
      </c>
      <c r="P41" s="195">
        <f t="shared" si="13"/>
        <v>11.8141592920354</v>
      </c>
      <c r="Q41" s="214">
        <f t="shared" si="1"/>
        <v>23.6283185840708</v>
      </c>
      <c r="R41" s="215">
        <f t="shared" si="2"/>
        <v>0.03</v>
      </c>
      <c r="S41" s="216">
        <f t="shared" si="3"/>
        <v>0.161011235955056</v>
      </c>
      <c r="T41" s="217">
        <f t="shared" si="4"/>
        <v>0.22</v>
      </c>
      <c r="U41" s="218">
        <v>0.06</v>
      </c>
      <c r="V41" s="219">
        <f t="shared" si="5"/>
        <v>0.19</v>
      </c>
      <c r="W41" s="219">
        <f t="shared" si="6"/>
        <v>-0.028988764044944</v>
      </c>
      <c r="X41" s="220" t="str">
        <f>IFERROR(SUMIF(#REF!,$A41,#REF!),"")</f>
        <v/>
      </c>
      <c r="Y41" s="227" t="e">
        <f t="shared" si="7"/>
        <v>#VALUE!</v>
      </c>
      <c r="Z41" s="228" t="s">
        <v>390</v>
      </c>
      <c r="AA41" s="228"/>
      <c r="AB41" s="229" t="e">
        <f t="shared" si="8"/>
        <v>#VALUE!</v>
      </c>
    </row>
    <row r="42" customFormat="1" customHeight="1" spans="1:28">
      <c r="A42" s="182"/>
      <c r="B42" s="182"/>
      <c r="C42" s="183" t="s">
        <v>361</v>
      </c>
      <c r="D42" s="184" t="s">
        <v>98</v>
      </c>
      <c r="E42" s="184" t="s">
        <v>346</v>
      </c>
      <c r="F42" s="184" t="s">
        <v>347</v>
      </c>
      <c r="G42" s="184"/>
      <c r="H42" s="185">
        <v>45166</v>
      </c>
      <c r="I42" s="193" t="s">
        <v>367</v>
      </c>
      <c r="J42" s="194" t="s">
        <v>378</v>
      </c>
      <c r="K42" s="184">
        <v>6</v>
      </c>
      <c r="L42" s="195">
        <v>5938.732</v>
      </c>
      <c r="M42" s="195">
        <v>7123.89380530974</v>
      </c>
      <c r="N42" s="195">
        <f t="shared" si="12"/>
        <v>1185.16180530974</v>
      </c>
      <c r="O42" s="196">
        <f t="shared" si="0"/>
        <v>0.166364327950311</v>
      </c>
      <c r="P42" s="195">
        <f t="shared" si="13"/>
        <v>213.716814159292</v>
      </c>
      <c r="Q42" s="214">
        <f t="shared" si="1"/>
        <v>1282.30088495575</v>
      </c>
      <c r="R42" s="215">
        <f t="shared" si="2"/>
        <v>0.03</v>
      </c>
      <c r="S42" s="216">
        <f t="shared" si="3"/>
        <v>0.136364327950311</v>
      </c>
      <c r="T42" s="217">
        <f t="shared" si="4"/>
        <v>0.22</v>
      </c>
      <c r="U42" s="218">
        <v>0.06</v>
      </c>
      <c r="V42" s="219">
        <f t="shared" si="5"/>
        <v>0.19</v>
      </c>
      <c r="W42" s="219">
        <f t="shared" si="6"/>
        <v>-0.0536356720496888</v>
      </c>
      <c r="X42" s="220" t="str">
        <f>IFERROR(SUMIF(#REF!,$A42,#REF!),"")</f>
        <v/>
      </c>
      <c r="Y42" s="227" t="e">
        <f t="shared" si="7"/>
        <v>#VALUE!</v>
      </c>
      <c r="Z42" s="228" t="s">
        <v>391</v>
      </c>
      <c r="AA42" s="228"/>
      <c r="AB42" s="229" t="e">
        <f t="shared" si="8"/>
        <v>#VALUE!</v>
      </c>
    </row>
    <row r="43" customFormat="1" customHeight="1" spans="1:28">
      <c r="A43" s="182"/>
      <c r="B43" s="182"/>
      <c r="C43" s="183" t="s">
        <v>361</v>
      </c>
      <c r="D43" s="184" t="s">
        <v>98</v>
      </c>
      <c r="E43" s="184" t="s">
        <v>346</v>
      </c>
      <c r="F43" s="184" t="s">
        <v>347</v>
      </c>
      <c r="G43" s="184"/>
      <c r="H43" s="185">
        <v>45167</v>
      </c>
      <c r="I43" s="193" t="s">
        <v>367</v>
      </c>
      <c r="J43" s="194" t="s">
        <v>389</v>
      </c>
      <c r="K43" s="184">
        <v>4</v>
      </c>
      <c r="L43" s="195">
        <v>318.58407079646</v>
      </c>
      <c r="M43" s="195">
        <v>393.805309734513</v>
      </c>
      <c r="N43" s="195">
        <f t="shared" si="12"/>
        <v>75.221238938053</v>
      </c>
      <c r="O43" s="196">
        <f t="shared" si="0"/>
        <v>0.191011235955056</v>
      </c>
      <c r="P43" s="195">
        <f t="shared" si="13"/>
        <v>11.8141592920354</v>
      </c>
      <c r="Q43" s="214">
        <f t="shared" si="1"/>
        <v>47.2566371681416</v>
      </c>
      <c r="R43" s="215">
        <f t="shared" si="2"/>
        <v>0.03</v>
      </c>
      <c r="S43" s="216">
        <f t="shared" si="3"/>
        <v>0.161011235955056</v>
      </c>
      <c r="T43" s="217">
        <f t="shared" si="4"/>
        <v>0.22</v>
      </c>
      <c r="U43" s="218">
        <v>0.06</v>
      </c>
      <c r="V43" s="219">
        <f t="shared" si="5"/>
        <v>0.19</v>
      </c>
      <c r="W43" s="219">
        <f t="shared" si="6"/>
        <v>-0.028988764044944</v>
      </c>
      <c r="X43" s="220" t="str">
        <f>IFERROR(SUMIF(#REF!,$A43,#REF!),"")</f>
        <v/>
      </c>
      <c r="Y43" s="227" t="e">
        <f t="shared" si="7"/>
        <v>#VALUE!</v>
      </c>
      <c r="Z43" s="228" t="s">
        <v>392</v>
      </c>
      <c r="AA43" s="228"/>
      <c r="AB43" s="229" t="e">
        <f t="shared" si="8"/>
        <v>#VALUE!</v>
      </c>
    </row>
    <row r="44" customFormat="1" customHeight="1" spans="1:28">
      <c r="A44" s="182"/>
      <c r="B44" s="182"/>
      <c r="C44" s="183" t="s">
        <v>361</v>
      </c>
      <c r="D44" s="184" t="s">
        <v>98</v>
      </c>
      <c r="E44" s="184" t="s">
        <v>346</v>
      </c>
      <c r="F44" s="184" t="s">
        <v>347</v>
      </c>
      <c r="G44" s="184"/>
      <c r="H44" s="185">
        <v>45167</v>
      </c>
      <c r="I44" s="193" t="s">
        <v>367</v>
      </c>
      <c r="J44" s="194" t="s">
        <v>389</v>
      </c>
      <c r="K44" s="184">
        <v>10</v>
      </c>
      <c r="L44" s="195">
        <v>318.58407079646</v>
      </c>
      <c r="M44" s="195">
        <v>393.805309734513</v>
      </c>
      <c r="N44" s="195">
        <f t="shared" si="12"/>
        <v>75.221238938053</v>
      </c>
      <c r="O44" s="196">
        <f t="shared" si="0"/>
        <v>0.191011235955056</v>
      </c>
      <c r="P44" s="195">
        <f t="shared" si="13"/>
        <v>11.8141592920354</v>
      </c>
      <c r="Q44" s="214">
        <f t="shared" si="1"/>
        <v>118.141592920354</v>
      </c>
      <c r="R44" s="215">
        <f t="shared" si="2"/>
        <v>0.03</v>
      </c>
      <c r="S44" s="216">
        <f t="shared" si="3"/>
        <v>0.161011235955056</v>
      </c>
      <c r="T44" s="217">
        <f t="shared" si="4"/>
        <v>0.22</v>
      </c>
      <c r="U44" s="218">
        <v>0.06</v>
      </c>
      <c r="V44" s="219">
        <f t="shared" si="5"/>
        <v>0.19</v>
      </c>
      <c r="W44" s="219">
        <f t="shared" si="6"/>
        <v>-0.028988764044944</v>
      </c>
      <c r="X44" s="220" t="str">
        <f>IFERROR(SUMIF(#REF!,$A44,#REF!),"")</f>
        <v/>
      </c>
      <c r="Y44" s="227" t="e">
        <f t="shared" si="7"/>
        <v>#VALUE!</v>
      </c>
      <c r="Z44" s="228" t="s">
        <v>392</v>
      </c>
      <c r="AA44" s="228"/>
      <c r="AB44" s="229" t="e">
        <f t="shared" si="8"/>
        <v>#VALUE!</v>
      </c>
    </row>
    <row r="45" customFormat="1" customHeight="1" spans="1:28">
      <c r="A45" s="182"/>
      <c r="B45" s="182"/>
      <c r="C45" s="183" t="s">
        <v>361</v>
      </c>
      <c r="D45" s="184" t="s">
        <v>98</v>
      </c>
      <c r="E45" s="184" t="s">
        <v>346</v>
      </c>
      <c r="F45" s="184" t="s">
        <v>347</v>
      </c>
      <c r="G45" s="184"/>
      <c r="H45" s="185">
        <v>45169</v>
      </c>
      <c r="I45" s="193" t="s">
        <v>367</v>
      </c>
      <c r="J45" s="194" t="s">
        <v>389</v>
      </c>
      <c r="K45" s="184">
        <v>5</v>
      </c>
      <c r="L45" s="195">
        <v>318.58407079646</v>
      </c>
      <c r="M45" s="195">
        <v>393.805309734513</v>
      </c>
      <c r="N45" s="195">
        <f t="shared" ref="N45:N76" si="14">M45-L45</f>
        <v>75.221238938053</v>
      </c>
      <c r="O45" s="196">
        <f t="shared" si="0"/>
        <v>0.191011235955056</v>
      </c>
      <c r="P45" s="195">
        <f t="shared" si="13"/>
        <v>11.8141592920354</v>
      </c>
      <c r="Q45" s="214">
        <f t="shared" si="1"/>
        <v>59.070796460177</v>
      </c>
      <c r="R45" s="215">
        <f t="shared" si="2"/>
        <v>0.03</v>
      </c>
      <c r="S45" s="216">
        <f t="shared" si="3"/>
        <v>0.161011235955056</v>
      </c>
      <c r="T45" s="217">
        <f t="shared" si="4"/>
        <v>0.22</v>
      </c>
      <c r="U45" s="218">
        <v>0.06</v>
      </c>
      <c r="V45" s="219">
        <f t="shared" si="5"/>
        <v>0.19</v>
      </c>
      <c r="W45" s="219">
        <f t="shared" si="6"/>
        <v>-0.028988764044944</v>
      </c>
      <c r="X45" s="220" t="str">
        <f>IFERROR(SUMIF(#REF!,$A45,#REF!),"")</f>
        <v/>
      </c>
      <c r="Y45" s="227" t="e">
        <f t="shared" si="7"/>
        <v>#VALUE!</v>
      </c>
      <c r="Z45" s="228" t="s">
        <v>393</v>
      </c>
      <c r="AA45" s="228"/>
      <c r="AB45" s="229" t="e">
        <f t="shared" si="8"/>
        <v>#VALUE!</v>
      </c>
    </row>
    <row r="46" customFormat="1" customHeight="1" spans="1:28">
      <c r="A46" s="182"/>
      <c r="B46" s="182"/>
      <c r="C46" s="183" t="s">
        <v>361</v>
      </c>
      <c r="D46" s="184" t="s">
        <v>98</v>
      </c>
      <c r="E46" s="184" t="s">
        <v>346</v>
      </c>
      <c r="F46" s="184" t="s">
        <v>347</v>
      </c>
      <c r="G46" s="184"/>
      <c r="H46" s="185">
        <v>45170</v>
      </c>
      <c r="I46" s="193" t="s">
        <v>367</v>
      </c>
      <c r="J46" s="194" t="s">
        <v>389</v>
      </c>
      <c r="K46" s="184">
        <v>4</v>
      </c>
      <c r="L46" s="195">
        <v>318.58407079646</v>
      </c>
      <c r="M46" s="195">
        <v>393.805309734513</v>
      </c>
      <c r="N46" s="195">
        <f t="shared" si="14"/>
        <v>75.221238938053</v>
      </c>
      <c r="O46" s="196">
        <f t="shared" si="0"/>
        <v>0.191011235955056</v>
      </c>
      <c r="P46" s="195">
        <f t="shared" si="13"/>
        <v>11.8141592920354</v>
      </c>
      <c r="Q46" s="214">
        <f t="shared" si="1"/>
        <v>47.2566371681416</v>
      </c>
      <c r="R46" s="215">
        <f t="shared" si="2"/>
        <v>0.03</v>
      </c>
      <c r="S46" s="216">
        <f t="shared" si="3"/>
        <v>0.161011235955056</v>
      </c>
      <c r="T46" s="217">
        <f t="shared" si="4"/>
        <v>0.22</v>
      </c>
      <c r="U46" s="218">
        <v>0.06</v>
      </c>
      <c r="V46" s="219">
        <f t="shared" si="5"/>
        <v>0.19</v>
      </c>
      <c r="W46" s="219">
        <f t="shared" si="6"/>
        <v>-0.028988764044944</v>
      </c>
      <c r="X46" s="220" t="str">
        <f>IFERROR(SUMIF(#REF!,$A46,#REF!),"")</f>
        <v/>
      </c>
      <c r="Y46" s="227" t="e">
        <f t="shared" si="7"/>
        <v>#VALUE!</v>
      </c>
      <c r="Z46" s="228" t="s">
        <v>394</v>
      </c>
      <c r="AA46" s="228"/>
      <c r="AB46" s="229" t="e">
        <f t="shared" si="8"/>
        <v>#VALUE!</v>
      </c>
    </row>
    <row r="47" customFormat="1" customHeight="1" spans="1:28">
      <c r="A47" s="182"/>
      <c r="B47" s="182"/>
      <c r="C47" s="183" t="s">
        <v>361</v>
      </c>
      <c r="D47" s="184" t="s">
        <v>98</v>
      </c>
      <c r="E47" s="184" t="s">
        <v>346</v>
      </c>
      <c r="F47" s="184" t="s">
        <v>347</v>
      </c>
      <c r="G47" s="184"/>
      <c r="H47" s="185">
        <v>45173</v>
      </c>
      <c r="I47" s="193" t="s">
        <v>367</v>
      </c>
      <c r="J47" s="194" t="s">
        <v>389</v>
      </c>
      <c r="K47" s="184">
        <v>4</v>
      </c>
      <c r="L47" s="195">
        <v>318.58407079646</v>
      </c>
      <c r="M47" s="195">
        <v>393.805309734513</v>
      </c>
      <c r="N47" s="195">
        <f t="shared" si="14"/>
        <v>75.221238938053</v>
      </c>
      <c r="O47" s="196">
        <f t="shared" si="0"/>
        <v>0.191011235955056</v>
      </c>
      <c r="P47" s="195">
        <f t="shared" si="13"/>
        <v>11.8141592920354</v>
      </c>
      <c r="Q47" s="214">
        <f t="shared" si="1"/>
        <v>47.2566371681416</v>
      </c>
      <c r="R47" s="215">
        <f t="shared" si="2"/>
        <v>0.03</v>
      </c>
      <c r="S47" s="216">
        <f t="shared" si="3"/>
        <v>0.161011235955056</v>
      </c>
      <c r="T47" s="217">
        <f t="shared" si="4"/>
        <v>0.22</v>
      </c>
      <c r="U47" s="218">
        <v>0.06</v>
      </c>
      <c r="V47" s="219">
        <f t="shared" si="5"/>
        <v>0.19</v>
      </c>
      <c r="W47" s="219">
        <f t="shared" si="6"/>
        <v>-0.028988764044944</v>
      </c>
      <c r="X47" s="220" t="str">
        <f>IFERROR(SUMIF(#REF!,$A47,#REF!),"")</f>
        <v/>
      </c>
      <c r="Y47" s="227" t="e">
        <f t="shared" si="7"/>
        <v>#VALUE!</v>
      </c>
      <c r="Z47" s="228" t="s">
        <v>395</v>
      </c>
      <c r="AA47" s="228"/>
      <c r="AB47" s="229" t="e">
        <f t="shared" si="8"/>
        <v>#VALUE!</v>
      </c>
    </row>
    <row r="48" customFormat="1" customHeight="1" spans="1:28">
      <c r="A48" s="182"/>
      <c r="B48" s="182"/>
      <c r="C48" s="183" t="s">
        <v>361</v>
      </c>
      <c r="D48" s="184" t="s">
        <v>98</v>
      </c>
      <c r="E48" s="184" t="s">
        <v>346</v>
      </c>
      <c r="F48" s="184" t="s">
        <v>347</v>
      </c>
      <c r="G48" s="184"/>
      <c r="H48" s="185">
        <v>45174</v>
      </c>
      <c r="I48" s="193" t="s">
        <v>367</v>
      </c>
      <c r="J48" s="194" t="s">
        <v>396</v>
      </c>
      <c r="K48" s="184">
        <v>21</v>
      </c>
      <c r="L48" s="195">
        <v>557.522123893805</v>
      </c>
      <c r="M48" s="195">
        <v>730.088495575221</v>
      </c>
      <c r="N48" s="195">
        <f t="shared" si="14"/>
        <v>172.566371681416</v>
      </c>
      <c r="O48" s="196">
        <f t="shared" si="0"/>
        <v>0.236363636363637</v>
      </c>
      <c r="P48" s="195">
        <f t="shared" si="13"/>
        <v>21.9026548672566</v>
      </c>
      <c r="Q48" s="214">
        <f t="shared" si="1"/>
        <v>459.955752212389</v>
      </c>
      <c r="R48" s="215">
        <f t="shared" si="2"/>
        <v>0.03</v>
      </c>
      <c r="S48" s="216">
        <f t="shared" si="3"/>
        <v>0.206363636363637</v>
      </c>
      <c r="T48" s="217">
        <f t="shared" si="4"/>
        <v>0.22</v>
      </c>
      <c r="U48" s="218">
        <v>0.06</v>
      </c>
      <c r="V48" s="219">
        <f t="shared" si="5"/>
        <v>0.19</v>
      </c>
      <c r="W48" s="219" t="str">
        <f t="shared" si="6"/>
        <v/>
      </c>
      <c r="X48" s="220" t="str">
        <f>IFERROR(SUMIF(#REF!,$A48,#REF!),"")</f>
        <v/>
      </c>
      <c r="Y48" s="227" t="e">
        <f t="shared" si="7"/>
        <v>#VALUE!</v>
      </c>
      <c r="Z48" s="228" t="s">
        <v>397</v>
      </c>
      <c r="AA48" s="228"/>
      <c r="AB48" s="229" t="e">
        <f t="shared" si="8"/>
        <v>#VALUE!</v>
      </c>
    </row>
    <row r="49" customFormat="1" customHeight="1" spans="1:28">
      <c r="A49" s="182"/>
      <c r="B49" s="182"/>
      <c r="C49" s="183" t="s">
        <v>361</v>
      </c>
      <c r="D49" s="184" t="s">
        <v>98</v>
      </c>
      <c r="E49" s="184" t="s">
        <v>346</v>
      </c>
      <c r="F49" s="184" t="s">
        <v>347</v>
      </c>
      <c r="G49" s="184"/>
      <c r="H49" s="185">
        <v>45177</v>
      </c>
      <c r="I49" s="193" t="s">
        <v>362</v>
      </c>
      <c r="J49" s="194" t="s">
        <v>380</v>
      </c>
      <c r="K49" s="184">
        <v>4</v>
      </c>
      <c r="L49" s="195">
        <v>47.0796460176991</v>
      </c>
      <c r="M49" s="195">
        <v>68.141592920354</v>
      </c>
      <c r="N49" s="195">
        <f t="shared" si="14"/>
        <v>21.0619469026549</v>
      </c>
      <c r="O49" s="196">
        <f t="shared" si="0"/>
        <v>0.30909090909091</v>
      </c>
      <c r="P49" s="195">
        <f t="shared" si="13"/>
        <v>2.04424778761062</v>
      </c>
      <c r="Q49" s="214">
        <f t="shared" si="1"/>
        <v>8.17699115044248</v>
      </c>
      <c r="R49" s="215">
        <f t="shared" si="2"/>
        <v>0.03</v>
      </c>
      <c r="S49" s="216">
        <f t="shared" si="3"/>
        <v>0.27909090909091</v>
      </c>
      <c r="T49" s="217">
        <f t="shared" si="4"/>
        <v>0.22</v>
      </c>
      <c r="U49" s="218">
        <v>0.06</v>
      </c>
      <c r="V49" s="219">
        <f t="shared" si="5"/>
        <v>0.19</v>
      </c>
      <c r="W49" s="219" t="str">
        <f t="shared" si="6"/>
        <v/>
      </c>
      <c r="X49" s="220" t="str">
        <f>IFERROR(SUMIF(#REF!,$A49,#REF!),"")</f>
        <v/>
      </c>
      <c r="Y49" s="227" t="e">
        <f t="shared" si="7"/>
        <v>#VALUE!</v>
      </c>
      <c r="Z49" s="228" t="s">
        <v>398</v>
      </c>
      <c r="AA49" s="228"/>
      <c r="AB49" s="229" t="e">
        <f t="shared" si="8"/>
        <v>#VALUE!</v>
      </c>
    </row>
    <row r="50" customFormat="1" customHeight="1" spans="1:28">
      <c r="A50" s="182"/>
      <c r="B50" s="182"/>
      <c r="C50" s="183" t="s">
        <v>361</v>
      </c>
      <c r="D50" s="184" t="s">
        <v>98</v>
      </c>
      <c r="E50" s="184" t="s">
        <v>346</v>
      </c>
      <c r="F50" s="184" t="s">
        <v>347</v>
      </c>
      <c r="G50" s="184"/>
      <c r="H50" s="185">
        <v>45177</v>
      </c>
      <c r="I50" s="193" t="s">
        <v>367</v>
      </c>
      <c r="J50" s="194" t="s">
        <v>399</v>
      </c>
      <c r="K50" s="184">
        <v>1</v>
      </c>
      <c r="L50" s="195">
        <v>1150.44</v>
      </c>
      <c r="M50" s="195">
        <v>1457.52212389381</v>
      </c>
      <c r="N50" s="197">
        <f t="shared" si="14"/>
        <v>307.08212389381</v>
      </c>
      <c r="O50" s="196">
        <f t="shared" si="0"/>
        <v>0.210687795992717</v>
      </c>
      <c r="P50" s="195">
        <f t="shared" si="13"/>
        <v>43.7256637168143</v>
      </c>
      <c r="Q50" s="214">
        <f t="shared" si="1"/>
        <v>43.7256637168143</v>
      </c>
      <c r="R50" s="215">
        <f t="shared" si="2"/>
        <v>0.03</v>
      </c>
      <c r="S50" s="216">
        <f t="shared" si="3"/>
        <v>0.180687795992717</v>
      </c>
      <c r="T50" s="217">
        <f t="shared" si="4"/>
        <v>0.22</v>
      </c>
      <c r="U50" s="218">
        <v>0.06</v>
      </c>
      <c r="V50" s="219">
        <f t="shared" si="5"/>
        <v>0.19</v>
      </c>
      <c r="W50" s="219">
        <f t="shared" si="6"/>
        <v>-0.0093122040072835</v>
      </c>
      <c r="X50" s="220" t="str">
        <f>IFERROR(SUMIF(#REF!,$A50,#REF!),"")</f>
        <v/>
      </c>
      <c r="Y50" s="227" t="e">
        <f t="shared" si="7"/>
        <v>#VALUE!</v>
      </c>
      <c r="Z50" s="228" t="s">
        <v>400</v>
      </c>
      <c r="AA50" s="228"/>
      <c r="AB50" s="229" t="e">
        <f t="shared" si="8"/>
        <v>#VALUE!</v>
      </c>
    </row>
    <row r="51" customFormat="1" customHeight="1" spans="1:28">
      <c r="A51" s="182"/>
      <c r="B51" s="182"/>
      <c r="C51" s="183" t="s">
        <v>361</v>
      </c>
      <c r="D51" s="184" t="s">
        <v>98</v>
      </c>
      <c r="E51" s="184" t="s">
        <v>346</v>
      </c>
      <c r="F51" s="184" t="s">
        <v>347</v>
      </c>
      <c r="G51" s="184"/>
      <c r="H51" s="185">
        <v>45177</v>
      </c>
      <c r="I51" s="193" t="s">
        <v>367</v>
      </c>
      <c r="J51" s="194" t="s">
        <v>389</v>
      </c>
      <c r="K51" s="184">
        <v>8</v>
      </c>
      <c r="L51" s="195">
        <v>318.58</v>
      </c>
      <c r="M51" s="195">
        <v>393.805309734513</v>
      </c>
      <c r="N51" s="197">
        <f t="shared" si="14"/>
        <v>75.225309734513</v>
      </c>
      <c r="O51" s="196">
        <f t="shared" si="0"/>
        <v>0.191021573033707</v>
      </c>
      <c r="P51" s="195">
        <f t="shared" si="13"/>
        <v>11.8141592920354</v>
      </c>
      <c r="Q51" s="214">
        <f t="shared" si="1"/>
        <v>94.5132743362831</v>
      </c>
      <c r="R51" s="215">
        <f t="shared" si="2"/>
        <v>0.03</v>
      </c>
      <c r="S51" s="216">
        <f t="shared" si="3"/>
        <v>0.161021573033707</v>
      </c>
      <c r="T51" s="217">
        <f t="shared" si="4"/>
        <v>0.22</v>
      </c>
      <c r="U51" s="218">
        <v>0.06</v>
      </c>
      <c r="V51" s="219">
        <f t="shared" si="5"/>
        <v>0.19</v>
      </c>
      <c r="W51" s="219">
        <f t="shared" si="6"/>
        <v>-0.0289784269662927</v>
      </c>
      <c r="X51" s="220" t="str">
        <f>IFERROR(SUMIF(#REF!,$A51,#REF!),"")</f>
        <v/>
      </c>
      <c r="Y51" s="227" t="e">
        <f t="shared" si="7"/>
        <v>#VALUE!</v>
      </c>
      <c r="Z51" s="228" t="s">
        <v>400</v>
      </c>
      <c r="AA51" s="228"/>
      <c r="AB51" s="229" t="e">
        <f t="shared" si="8"/>
        <v>#VALUE!</v>
      </c>
    </row>
    <row r="52" customFormat="1" customHeight="1" spans="1:28">
      <c r="A52" s="182"/>
      <c r="B52" s="182"/>
      <c r="C52" s="183" t="s">
        <v>361</v>
      </c>
      <c r="D52" s="184" t="s">
        <v>98</v>
      </c>
      <c r="E52" s="184" t="s">
        <v>346</v>
      </c>
      <c r="F52" s="184" t="s">
        <v>347</v>
      </c>
      <c r="G52" s="184"/>
      <c r="H52" s="185">
        <v>45181</v>
      </c>
      <c r="I52" s="193" t="s">
        <v>367</v>
      </c>
      <c r="J52" s="194" t="s">
        <v>389</v>
      </c>
      <c r="K52" s="184">
        <v>2</v>
      </c>
      <c r="L52" s="195">
        <v>318.58407079646</v>
      </c>
      <c r="M52" s="195">
        <v>393.805309734513</v>
      </c>
      <c r="N52" s="195">
        <f t="shared" si="14"/>
        <v>75.221238938053</v>
      </c>
      <c r="O52" s="196">
        <f t="shared" si="0"/>
        <v>0.191011235955056</v>
      </c>
      <c r="P52" s="195">
        <f t="shared" si="13"/>
        <v>11.8141592920354</v>
      </c>
      <c r="Q52" s="214">
        <f t="shared" si="1"/>
        <v>23.6283185840708</v>
      </c>
      <c r="R52" s="215">
        <f t="shared" si="2"/>
        <v>0.03</v>
      </c>
      <c r="S52" s="216">
        <f t="shared" si="3"/>
        <v>0.161011235955056</v>
      </c>
      <c r="T52" s="217">
        <f t="shared" si="4"/>
        <v>0.22</v>
      </c>
      <c r="U52" s="218">
        <v>0.06</v>
      </c>
      <c r="V52" s="219">
        <f t="shared" si="5"/>
        <v>0.19</v>
      </c>
      <c r="W52" s="219">
        <f t="shared" si="6"/>
        <v>-0.028988764044944</v>
      </c>
      <c r="X52" s="220" t="str">
        <f>IFERROR(SUMIF(#REF!,$A52,#REF!),"")</f>
        <v/>
      </c>
      <c r="Y52" s="227" t="e">
        <f t="shared" si="7"/>
        <v>#VALUE!</v>
      </c>
      <c r="Z52" s="228" t="s">
        <v>401</v>
      </c>
      <c r="AA52" s="228"/>
      <c r="AB52" s="229" t="e">
        <f t="shared" si="8"/>
        <v>#VALUE!</v>
      </c>
    </row>
    <row r="53" customFormat="1" customHeight="1" spans="1:28">
      <c r="A53" s="182"/>
      <c r="B53" s="182"/>
      <c r="C53" s="183" t="s">
        <v>361</v>
      </c>
      <c r="D53" s="184" t="s">
        <v>98</v>
      </c>
      <c r="E53" s="184" t="s">
        <v>346</v>
      </c>
      <c r="F53" s="184" t="s">
        <v>347</v>
      </c>
      <c r="G53" s="184"/>
      <c r="H53" s="185">
        <v>45181</v>
      </c>
      <c r="I53" s="193" t="s">
        <v>367</v>
      </c>
      <c r="J53" s="194" t="s">
        <v>402</v>
      </c>
      <c r="K53" s="184">
        <v>1</v>
      </c>
      <c r="L53" s="195">
        <v>2295.9</v>
      </c>
      <c r="M53" s="195">
        <v>4424.77876106195</v>
      </c>
      <c r="N53" s="195">
        <f t="shared" si="14"/>
        <v>2128.87876106195</v>
      </c>
      <c r="O53" s="196">
        <f t="shared" si="0"/>
        <v>0.4811266</v>
      </c>
      <c r="P53" s="195">
        <f t="shared" si="13"/>
        <v>132.743362831858</v>
      </c>
      <c r="Q53" s="214">
        <f t="shared" si="1"/>
        <v>132.743362831858</v>
      </c>
      <c r="R53" s="215">
        <f t="shared" si="2"/>
        <v>0.03</v>
      </c>
      <c r="S53" s="216">
        <f t="shared" si="3"/>
        <v>0.4511266</v>
      </c>
      <c r="T53" s="217">
        <f t="shared" si="4"/>
        <v>0.22</v>
      </c>
      <c r="U53" s="218">
        <v>0.06</v>
      </c>
      <c r="V53" s="219">
        <f t="shared" si="5"/>
        <v>0.19</v>
      </c>
      <c r="W53" s="219" t="str">
        <f t="shared" si="6"/>
        <v/>
      </c>
      <c r="X53" s="220" t="str">
        <f>IFERROR(SUMIF(#REF!,$A53,#REF!),"")</f>
        <v/>
      </c>
      <c r="Y53" s="227" t="e">
        <f t="shared" si="7"/>
        <v>#VALUE!</v>
      </c>
      <c r="Z53" s="228" t="s">
        <v>403</v>
      </c>
      <c r="AA53" s="228"/>
      <c r="AB53" s="229" t="e">
        <f t="shared" si="8"/>
        <v>#VALUE!</v>
      </c>
    </row>
    <row r="54" customFormat="1" customHeight="1" spans="1:28">
      <c r="A54" s="182"/>
      <c r="B54" s="182"/>
      <c r="C54" s="183" t="s">
        <v>361</v>
      </c>
      <c r="D54" s="184" t="s">
        <v>98</v>
      </c>
      <c r="E54" s="184" t="s">
        <v>346</v>
      </c>
      <c r="F54" s="184" t="s">
        <v>347</v>
      </c>
      <c r="G54" s="184"/>
      <c r="H54" s="185">
        <v>45182</v>
      </c>
      <c r="I54" s="193" t="s">
        <v>367</v>
      </c>
      <c r="J54" s="194" t="s">
        <v>389</v>
      </c>
      <c r="K54" s="184">
        <v>1</v>
      </c>
      <c r="L54" s="195">
        <v>318.58407079646</v>
      </c>
      <c r="M54" s="195">
        <v>393.805309734513</v>
      </c>
      <c r="N54" s="195">
        <f t="shared" si="14"/>
        <v>75.221238938053</v>
      </c>
      <c r="O54" s="196">
        <f t="shared" si="0"/>
        <v>0.191011235955056</v>
      </c>
      <c r="P54" s="195">
        <f t="shared" si="13"/>
        <v>11.8141592920354</v>
      </c>
      <c r="Q54" s="214">
        <f t="shared" si="1"/>
        <v>11.8141592920354</v>
      </c>
      <c r="R54" s="215">
        <f t="shared" si="2"/>
        <v>0.03</v>
      </c>
      <c r="S54" s="216">
        <f t="shared" si="3"/>
        <v>0.161011235955056</v>
      </c>
      <c r="T54" s="217">
        <f t="shared" si="4"/>
        <v>0.22</v>
      </c>
      <c r="U54" s="218">
        <v>0.06</v>
      </c>
      <c r="V54" s="219">
        <f t="shared" si="5"/>
        <v>0.19</v>
      </c>
      <c r="W54" s="219">
        <f t="shared" si="6"/>
        <v>-0.028988764044944</v>
      </c>
      <c r="X54" s="220" t="str">
        <f>IFERROR(SUMIF(#REF!,$A54,#REF!),"")</f>
        <v/>
      </c>
      <c r="Y54" s="227" t="e">
        <f t="shared" si="7"/>
        <v>#VALUE!</v>
      </c>
      <c r="Z54" s="228" t="s">
        <v>404</v>
      </c>
      <c r="AA54" s="228"/>
      <c r="AB54" s="229" t="e">
        <f t="shared" si="8"/>
        <v>#VALUE!</v>
      </c>
    </row>
    <row r="55" customFormat="1" customHeight="1" spans="1:28">
      <c r="A55" s="182"/>
      <c r="B55" s="182"/>
      <c r="C55" s="183" t="s">
        <v>361</v>
      </c>
      <c r="D55" s="184" t="s">
        <v>98</v>
      </c>
      <c r="E55" s="184" t="s">
        <v>346</v>
      </c>
      <c r="F55" s="184" t="s">
        <v>347</v>
      </c>
      <c r="G55" s="184"/>
      <c r="H55" s="185">
        <v>45183</v>
      </c>
      <c r="I55" s="193" t="s">
        <v>367</v>
      </c>
      <c r="J55" s="194" t="s">
        <v>378</v>
      </c>
      <c r="K55" s="184">
        <v>3</v>
      </c>
      <c r="L55" s="195">
        <v>5938.732</v>
      </c>
      <c r="M55" s="195">
        <v>7123.89380530974</v>
      </c>
      <c r="N55" s="195">
        <f t="shared" si="14"/>
        <v>1185.16180530974</v>
      </c>
      <c r="O55" s="196">
        <f t="shared" si="0"/>
        <v>0.166364327950311</v>
      </c>
      <c r="P55" s="195">
        <f t="shared" si="13"/>
        <v>213.716814159292</v>
      </c>
      <c r="Q55" s="214">
        <f t="shared" si="1"/>
        <v>641.150442477877</v>
      </c>
      <c r="R55" s="215">
        <f t="shared" si="2"/>
        <v>0.03</v>
      </c>
      <c r="S55" s="216">
        <f t="shared" si="3"/>
        <v>0.136364327950311</v>
      </c>
      <c r="T55" s="217">
        <f t="shared" si="4"/>
        <v>0.22</v>
      </c>
      <c r="U55" s="218">
        <v>0.06</v>
      </c>
      <c r="V55" s="219">
        <f t="shared" si="5"/>
        <v>0.19</v>
      </c>
      <c r="W55" s="219">
        <f t="shared" si="6"/>
        <v>-0.0536356720496888</v>
      </c>
      <c r="X55" s="220" t="str">
        <f>IFERROR(SUMIF(#REF!,$A55,#REF!),"")</f>
        <v/>
      </c>
      <c r="Y55" s="227" t="e">
        <f t="shared" si="7"/>
        <v>#VALUE!</v>
      </c>
      <c r="Z55" s="228" t="s">
        <v>405</v>
      </c>
      <c r="AA55" s="228"/>
      <c r="AB55" s="229" t="e">
        <f t="shared" si="8"/>
        <v>#VALUE!</v>
      </c>
    </row>
    <row r="56" customFormat="1" customHeight="1" spans="1:28">
      <c r="A56" s="182"/>
      <c r="B56" s="182"/>
      <c r="C56" s="183" t="s">
        <v>361</v>
      </c>
      <c r="D56" s="184" t="s">
        <v>98</v>
      </c>
      <c r="E56" s="184" t="s">
        <v>346</v>
      </c>
      <c r="F56" s="184" t="s">
        <v>347</v>
      </c>
      <c r="G56" s="184"/>
      <c r="H56" s="185">
        <v>45187</v>
      </c>
      <c r="I56" s="193" t="s">
        <v>367</v>
      </c>
      <c r="J56" s="194" t="s">
        <v>406</v>
      </c>
      <c r="K56" s="184">
        <v>1</v>
      </c>
      <c r="L56" s="195">
        <v>5748</v>
      </c>
      <c r="M56" s="195">
        <v>7097.34513274336</v>
      </c>
      <c r="N56" s="195">
        <f t="shared" si="14"/>
        <v>1349.34513274336</v>
      </c>
      <c r="O56" s="196">
        <f t="shared" si="0"/>
        <v>0.190119700748129</v>
      </c>
      <c r="P56" s="195">
        <f t="shared" si="13"/>
        <v>212.920353982301</v>
      </c>
      <c r="Q56" s="214">
        <f t="shared" si="1"/>
        <v>212.920353982301</v>
      </c>
      <c r="R56" s="215">
        <f t="shared" si="2"/>
        <v>0.03</v>
      </c>
      <c r="S56" s="216">
        <f t="shared" si="3"/>
        <v>0.160119700748129</v>
      </c>
      <c r="T56" s="217">
        <f t="shared" si="4"/>
        <v>0.22</v>
      </c>
      <c r="U56" s="218">
        <v>0.06</v>
      </c>
      <c r="V56" s="219">
        <f t="shared" si="5"/>
        <v>0.19</v>
      </c>
      <c r="W56" s="219">
        <f t="shared" si="6"/>
        <v>-0.0298802992518706</v>
      </c>
      <c r="X56" s="220" t="str">
        <f>IFERROR(SUMIF(#REF!,$A56,#REF!),"")</f>
        <v/>
      </c>
      <c r="Y56" s="227" t="e">
        <f t="shared" si="7"/>
        <v>#VALUE!</v>
      </c>
      <c r="Z56" s="228" t="s">
        <v>407</v>
      </c>
      <c r="AA56" s="228"/>
      <c r="AB56" s="229" t="e">
        <f t="shared" si="8"/>
        <v>#VALUE!</v>
      </c>
    </row>
    <row r="57" customFormat="1" customHeight="1" spans="1:28">
      <c r="A57" s="182"/>
      <c r="B57" s="182"/>
      <c r="C57" s="183" t="s">
        <v>361</v>
      </c>
      <c r="D57" s="184" t="s">
        <v>98</v>
      </c>
      <c r="E57" s="184" t="s">
        <v>346</v>
      </c>
      <c r="F57" s="184" t="s">
        <v>347</v>
      </c>
      <c r="G57" s="184"/>
      <c r="H57" s="185">
        <v>45187</v>
      </c>
      <c r="I57" s="193" t="s">
        <v>367</v>
      </c>
      <c r="J57" s="194" t="s">
        <v>406</v>
      </c>
      <c r="K57" s="184">
        <v>1</v>
      </c>
      <c r="L57" s="195">
        <v>5748</v>
      </c>
      <c r="M57" s="195">
        <v>7097.34513274336</v>
      </c>
      <c r="N57" s="195">
        <f t="shared" si="14"/>
        <v>1349.34513274336</v>
      </c>
      <c r="O57" s="196">
        <f t="shared" si="0"/>
        <v>0.190119700748129</v>
      </c>
      <c r="P57" s="195">
        <f t="shared" si="13"/>
        <v>212.920353982301</v>
      </c>
      <c r="Q57" s="214">
        <f t="shared" si="1"/>
        <v>212.920353982301</v>
      </c>
      <c r="R57" s="215">
        <f t="shared" si="2"/>
        <v>0.03</v>
      </c>
      <c r="S57" s="216">
        <f t="shared" si="3"/>
        <v>0.160119700748129</v>
      </c>
      <c r="T57" s="217">
        <f t="shared" si="4"/>
        <v>0.22</v>
      </c>
      <c r="U57" s="218">
        <v>0.06</v>
      </c>
      <c r="V57" s="219">
        <f t="shared" si="5"/>
        <v>0.19</v>
      </c>
      <c r="W57" s="219">
        <f t="shared" si="6"/>
        <v>-0.0298802992518706</v>
      </c>
      <c r="X57" s="220" t="str">
        <f>IFERROR(SUMIF(#REF!,$A57,#REF!),"")</f>
        <v/>
      </c>
      <c r="Y57" s="227" t="e">
        <f t="shared" si="7"/>
        <v>#VALUE!</v>
      </c>
      <c r="Z57" s="228" t="s">
        <v>407</v>
      </c>
      <c r="AA57" s="228"/>
      <c r="AB57" s="229" t="e">
        <f t="shared" si="8"/>
        <v>#VALUE!</v>
      </c>
    </row>
    <row r="58" customFormat="1" customHeight="1" spans="1:28">
      <c r="A58" s="182"/>
      <c r="B58" s="182"/>
      <c r="C58" s="183" t="s">
        <v>361</v>
      </c>
      <c r="D58" s="184" t="s">
        <v>98</v>
      </c>
      <c r="E58" s="184" t="s">
        <v>346</v>
      </c>
      <c r="F58" s="184" t="s">
        <v>347</v>
      </c>
      <c r="G58" s="184"/>
      <c r="H58" s="185">
        <v>45187</v>
      </c>
      <c r="I58" s="193" t="s">
        <v>367</v>
      </c>
      <c r="J58" s="194" t="s">
        <v>408</v>
      </c>
      <c r="K58" s="184">
        <v>1</v>
      </c>
      <c r="L58" s="195">
        <v>5344.8</v>
      </c>
      <c r="M58" s="195">
        <v>6225.66371681416</v>
      </c>
      <c r="N58" s="195">
        <f t="shared" si="14"/>
        <v>880.863716814159</v>
      </c>
      <c r="O58" s="196">
        <f t="shared" si="0"/>
        <v>0.141489125799574</v>
      </c>
      <c r="P58" s="195">
        <f t="shared" si="13"/>
        <v>186.769911504425</v>
      </c>
      <c r="Q58" s="214">
        <f t="shared" si="1"/>
        <v>186.769911504425</v>
      </c>
      <c r="R58" s="215">
        <f t="shared" si="2"/>
        <v>0.03</v>
      </c>
      <c r="S58" s="216">
        <f t="shared" si="3"/>
        <v>0.111489125799574</v>
      </c>
      <c r="T58" s="217">
        <f t="shared" si="4"/>
        <v>0.22</v>
      </c>
      <c r="U58" s="218">
        <v>0.06</v>
      </c>
      <c r="V58" s="219">
        <f t="shared" si="5"/>
        <v>0.19</v>
      </c>
      <c r="W58" s="219">
        <f t="shared" si="6"/>
        <v>-0.0785108742004264</v>
      </c>
      <c r="X58" s="220" t="str">
        <f>IFERROR(SUMIF(#REF!,$A58,#REF!),"")</f>
        <v/>
      </c>
      <c r="Y58" s="227" t="e">
        <f t="shared" si="7"/>
        <v>#VALUE!</v>
      </c>
      <c r="Z58" s="228" t="s">
        <v>407</v>
      </c>
      <c r="AA58" s="228"/>
      <c r="AB58" s="229" t="e">
        <f t="shared" si="8"/>
        <v>#VALUE!</v>
      </c>
    </row>
    <row r="59" customFormat="1" customHeight="1" spans="1:28">
      <c r="A59" s="182"/>
      <c r="B59" s="182"/>
      <c r="C59" s="183" t="s">
        <v>361</v>
      </c>
      <c r="D59" s="184" t="s">
        <v>98</v>
      </c>
      <c r="E59" s="184" t="s">
        <v>346</v>
      </c>
      <c r="F59" s="184" t="s">
        <v>347</v>
      </c>
      <c r="G59" s="184"/>
      <c r="H59" s="185">
        <v>45187</v>
      </c>
      <c r="I59" s="193" t="s">
        <v>367</v>
      </c>
      <c r="J59" s="194" t="s">
        <v>406</v>
      </c>
      <c r="K59" s="184">
        <v>1</v>
      </c>
      <c r="L59" s="195">
        <v>5748</v>
      </c>
      <c r="M59" s="195">
        <v>7097.34513274336</v>
      </c>
      <c r="N59" s="195">
        <f t="shared" si="14"/>
        <v>1349.34513274336</v>
      </c>
      <c r="O59" s="196">
        <f t="shared" si="0"/>
        <v>0.190119700748129</v>
      </c>
      <c r="P59" s="195">
        <f t="shared" si="13"/>
        <v>212.920353982301</v>
      </c>
      <c r="Q59" s="214">
        <f t="shared" si="1"/>
        <v>212.920353982301</v>
      </c>
      <c r="R59" s="215">
        <f t="shared" si="2"/>
        <v>0.03</v>
      </c>
      <c r="S59" s="216">
        <f t="shared" si="3"/>
        <v>0.160119700748129</v>
      </c>
      <c r="T59" s="217">
        <f t="shared" si="4"/>
        <v>0.22</v>
      </c>
      <c r="U59" s="218">
        <v>0.06</v>
      </c>
      <c r="V59" s="219">
        <f t="shared" si="5"/>
        <v>0.19</v>
      </c>
      <c r="W59" s="219">
        <f t="shared" si="6"/>
        <v>-0.0298802992518706</v>
      </c>
      <c r="X59" s="220" t="str">
        <f>IFERROR(SUMIF(#REF!,$A59,#REF!),"")</f>
        <v/>
      </c>
      <c r="Y59" s="227" t="e">
        <f t="shared" si="7"/>
        <v>#VALUE!</v>
      </c>
      <c r="Z59" s="228" t="s">
        <v>407</v>
      </c>
      <c r="AA59" s="228"/>
      <c r="AB59" s="229" t="e">
        <f t="shared" si="8"/>
        <v>#VALUE!</v>
      </c>
    </row>
    <row r="60" customFormat="1" customHeight="1" spans="1:28">
      <c r="A60" s="182"/>
      <c r="B60" s="182"/>
      <c r="C60" s="183" t="s">
        <v>361</v>
      </c>
      <c r="D60" s="184" t="s">
        <v>98</v>
      </c>
      <c r="E60" s="184" t="s">
        <v>346</v>
      </c>
      <c r="F60" s="184" t="s">
        <v>347</v>
      </c>
      <c r="G60" s="184"/>
      <c r="H60" s="185">
        <v>45187</v>
      </c>
      <c r="I60" s="193" t="s">
        <v>367</v>
      </c>
      <c r="J60" s="194" t="s">
        <v>389</v>
      </c>
      <c r="K60" s="184">
        <v>5</v>
      </c>
      <c r="L60" s="195">
        <v>318.58407079646</v>
      </c>
      <c r="M60" s="195">
        <v>393.805309734513</v>
      </c>
      <c r="N60" s="195">
        <f t="shared" si="14"/>
        <v>75.221238938053</v>
      </c>
      <c r="O60" s="196">
        <f t="shared" si="0"/>
        <v>0.191011235955056</v>
      </c>
      <c r="P60" s="195">
        <f t="shared" si="13"/>
        <v>11.8141592920354</v>
      </c>
      <c r="Q60" s="214">
        <f t="shared" si="1"/>
        <v>59.070796460177</v>
      </c>
      <c r="R60" s="215">
        <f t="shared" si="2"/>
        <v>0.03</v>
      </c>
      <c r="S60" s="216">
        <f t="shared" si="3"/>
        <v>0.161011235955056</v>
      </c>
      <c r="T60" s="217">
        <f t="shared" si="4"/>
        <v>0.22</v>
      </c>
      <c r="U60" s="218">
        <v>0.06</v>
      </c>
      <c r="V60" s="219">
        <f t="shared" si="5"/>
        <v>0.19</v>
      </c>
      <c r="W60" s="219">
        <f t="shared" si="6"/>
        <v>-0.028988764044944</v>
      </c>
      <c r="X60" s="220" t="str">
        <f>IFERROR(SUMIF(#REF!,$A60,#REF!),"")</f>
        <v/>
      </c>
      <c r="Y60" s="227" t="e">
        <f t="shared" si="7"/>
        <v>#VALUE!</v>
      </c>
      <c r="Z60" s="228" t="s">
        <v>407</v>
      </c>
      <c r="AA60" s="228"/>
      <c r="AB60" s="229" t="e">
        <f t="shared" si="8"/>
        <v>#VALUE!</v>
      </c>
    </row>
    <row r="61" customFormat="1" customHeight="1" spans="1:28">
      <c r="A61" s="182"/>
      <c r="B61" s="182"/>
      <c r="C61" s="183" t="s">
        <v>361</v>
      </c>
      <c r="D61" s="184" t="s">
        <v>98</v>
      </c>
      <c r="E61" s="184" t="s">
        <v>346</v>
      </c>
      <c r="F61" s="184" t="s">
        <v>347</v>
      </c>
      <c r="G61" s="184"/>
      <c r="H61" s="185">
        <v>45188</v>
      </c>
      <c r="I61" s="193" t="s">
        <v>367</v>
      </c>
      <c r="J61" s="194" t="s">
        <v>389</v>
      </c>
      <c r="K61" s="184">
        <v>10</v>
      </c>
      <c r="L61" s="195">
        <v>318.58407079646</v>
      </c>
      <c r="M61" s="195">
        <v>393.805309734513</v>
      </c>
      <c r="N61" s="195">
        <f t="shared" si="14"/>
        <v>75.221238938053</v>
      </c>
      <c r="O61" s="196">
        <f t="shared" si="0"/>
        <v>0.191011235955056</v>
      </c>
      <c r="P61" s="195">
        <f t="shared" si="13"/>
        <v>11.8141592920354</v>
      </c>
      <c r="Q61" s="214">
        <f t="shared" si="1"/>
        <v>118.141592920354</v>
      </c>
      <c r="R61" s="215">
        <f t="shared" si="2"/>
        <v>0.03</v>
      </c>
      <c r="S61" s="216">
        <f t="shared" si="3"/>
        <v>0.161011235955056</v>
      </c>
      <c r="T61" s="217">
        <f t="shared" si="4"/>
        <v>0.22</v>
      </c>
      <c r="U61" s="218">
        <v>0.06</v>
      </c>
      <c r="V61" s="219">
        <f t="shared" si="5"/>
        <v>0.19</v>
      </c>
      <c r="W61" s="219">
        <f t="shared" si="6"/>
        <v>-0.028988764044944</v>
      </c>
      <c r="X61" s="220" t="str">
        <f>IFERROR(SUMIF(#REF!,$A61,#REF!),"")</f>
        <v/>
      </c>
      <c r="Y61" s="227" t="e">
        <f t="shared" si="7"/>
        <v>#VALUE!</v>
      </c>
      <c r="Z61" s="228" t="s">
        <v>409</v>
      </c>
      <c r="AA61" s="228"/>
      <c r="AB61" s="229" t="e">
        <f t="shared" si="8"/>
        <v>#VALUE!</v>
      </c>
    </row>
    <row r="62" customFormat="1" customHeight="1" spans="1:28">
      <c r="A62" s="182"/>
      <c r="B62" s="182"/>
      <c r="C62" s="183" t="s">
        <v>361</v>
      </c>
      <c r="D62" s="184" t="s">
        <v>98</v>
      </c>
      <c r="E62" s="184" t="s">
        <v>346</v>
      </c>
      <c r="F62" s="184" t="s">
        <v>347</v>
      </c>
      <c r="G62" s="184"/>
      <c r="H62" s="185">
        <v>45188</v>
      </c>
      <c r="I62" s="193" t="s">
        <v>367</v>
      </c>
      <c r="J62" s="194" t="s">
        <v>389</v>
      </c>
      <c r="K62" s="184">
        <v>4</v>
      </c>
      <c r="L62" s="195">
        <v>318.58407079646</v>
      </c>
      <c r="M62" s="195">
        <v>393.805309734513</v>
      </c>
      <c r="N62" s="195">
        <f t="shared" si="14"/>
        <v>75.221238938053</v>
      </c>
      <c r="O62" s="196">
        <f t="shared" si="0"/>
        <v>0.191011235955056</v>
      </c>
      <c r="P62" s="195">
        <f t="shared" si="13"/>
        <v>11.8141592920354</v>
      </c>
      <c r="Q62" s="214">
        <f t="shared" si="1"/>
        <v>47.2566371681416</v>
      </c>
      <c r="R62" s="215">
        <f t="shared" si="2"/>
        <v>0.03</v>
      </c>
      <c r="S62" s="216">
        <f t="shared" si="3"/>
        <v>0.161011235955056</v>
      </c>
      <c r="T62" s="217">
        <f t="shared" si="4"/>
        <v>0.22</v>
      </c>
      <c r="U62" s="218">
        <v>0.06</v>
      </c>
      <c r="V62" s="219">
        <f t="shared" si="5"/>
        <v>0.19</v>
      </c>
      <c r="W62" s="219">
        <f t="shared" si="6"/>
        <v>-0.028988764044944</v>
      </c>
      <c r="X62" s="220" t="str">
        <f>IFERROR(SUMIF(#REF!,$A62,#REF!),"")</f>
        <v/>
      </c>
      <c r="Y62" s="227" t="e">
        <f t="shared" si="7"/>
        <v>#VALUE!</v>
      </c>
      <c r="Z62" s="228" t="s">
        <v>410</v>
      </c>
      <c r="AA62" s="228"/>
      <c r="AB62" s="229" t="e">
        <f t="shared" si="8"/>
        <v>#VALUE!</v>
      </c>
    </row>
    <row r="63" customFormat="1" customHeight="1" spans="1:28">
      <c r="A63" s="182"/>
      <c r="B63" s="182"/>
      <c r="C63" s="183" t="s">
        <v>361</v>
      </c>
      <c r="D63" s="184" t="s">
        <v>98</v>
      </c>
      <c r="E63" s="184" t="s">
        <v>346</v>
      </c>
      <c r="F63" s="184" t="s">
        <v>347</v>
      </c>
      <c r="G63" s="184"/>
      <c r="H63" s="185">
        <v>45188</v>
      </c>
      <c r="I63" s="193" t="s">
        <v>367</v>
      </c>
      <c r="J63" s="194" t="s">
        <v>389</v>
      </c>
      <c r="K63" s="184">
        <v>3</v>
      </c>
      <c r="L63" s="195">
        <v>318.58407079646</v>
      </c>
      <c r="M63" s="195">
        <v>393.805309734513</v>
      </c>
      <c r="N63" s="195">
        <f t="shared" si="14"/>
        <v>75.221238938053</v>
      </c>
      <c r="O63" s="196">
        <f t="shared" si="0"/>
        <v>0.191011235955056</v>
      </c>
      <c r="P63" s="195">
        <f t="shared" si="13"/>
        <v>11.8141592920354</v>
      </c>
      <c r="Q63" s="214">
        <f t="shared" si="1"/>
        <v>35.4424778761062</v>
      </c>
      <c r="R63" s="215">
        <f t="shared" si="2"/>
        <v>0.03</v>
      </c>
      <c r="S63" s="216">
        <f t="shared" si="3"/>
        <v>0.161011235955056</v>
      </c>
      <c r="T63" s="217">
        <f t="shared" si="4"/>
        <v>0.22</v>
      </c>
      <c r="U63" s="218">
        <v>0.06</v>
      </c>
      <c r="V63" s="219">
        <f t="shared" si="5"/>
        <v>0.19</v>
      </c>
      <c r="W63" s="219">
        <f t="shared" si="6"/>
        <v>-0.028988764044944</v>
      </c>
      <c r="X63" s="220" t="str">
        <f>IFERROR(SUMIF(#REF!,$A63,#REF!),"")</f>
        <v/>
      </c>
      <c r="Y63" s="227" t="e">
        <f t="shared" si="7"/>
        <v>#VALUE!</v>
      </c>
      <c r="Z63" s="228" t="s">
        <v>411</v>
      </c>
      <c r="AA63" s="228"/>
      <c r="AB63" s="229" t="e">
        <f t="shared" si="8"/>
        <v>#VALUE!</v>
      </c>
    </row>
    <row r="64" customFormat="1" customHeight="1" spans="1:28">
      <c r="A64" s="182"/>
      <c r="B64" s="182"/>
      <c r="C64" s="183" t="s">
        <v>361</v>
      </c>
      <c r="D64" s="184" t="s">
        <v>98</v>
      </c>
      <c r="E64" s="184" t="s">
        <v>346</v>
      </c>
      <c r="F64" s="184" t="s">
        <v>347</v>
      </c>
      <c r="G64" s="184"/>
      <c r="H64" s="185">
        <v>45189</v>
      </c>
      <c r="I64" s="193" t="s">
        <v>362</v>
      </c>
      <c r="J64" s="194" t="s">
        <v>363</v>
      </c>
      <c r="K64" s="184">
        <v>2</v>
      </c>
      <c r="L64" s="195">
        <v>358.407079646018</v>
      </c>
      <c r="M64" s="195">
        <v>685.840707964602</v>
      </c>
      <c r="N64" s="195">
        <f t="shared" si="14"/>
        <v>327.433628318584</v>
      </c>
      <c r="O64" s="196">
        <f t="shared" si="0"/>
        <v>0.477419354838709</v>
      </c>
      <c r="P64" s="195">
        <f t="shared" si="13"/>
        <v>20.5752212389381</v>
      </c>
      <c r="Q64" s="214">
        <f t="shared" si="1"/>
        <v>41.1504424778761</v>
      </c>
      <c r="R64" s="215">
        <f t="shared" si="2"/>
        <v>0.03</v>
      </c>
      <c r="S64" s="216">
        <f t="shared" si="3"/>
        <v>0.447419354838709</v>
      </c>
      <c r="T64" s="217">
        <f t="shared" si="4"/>
        <v>0.22</v>
      </c>
      <c r="U64" s="218">
        <v>0.06</v>
      </c>
      <c r="V64" s="219">
        <f t="shared" si="5"/>
        <v>0.19</v>
      </c>
      <c r="W64" s="219" t="str">
        <f t="shared" si="6"/>
        <v/>
      </c>
      <c r="X64" s="220" t="str">
        <f>IFERROR(SUMIF(#REF!,$A64,#REF!),"")</f>
        <v/>
      </c>
      <c r="Y64" s="227" t="e">
        <f t="shared" si="7"/>
        <v>#VALUE!</v>
      </c>
      <c r="Z64" s="228" t="s">
        <v>412</v>
      </c>
      <c r="AA64" s="228"/>
      <c r="AB64" s="229" t="e">
        <f t="shared" si="8"/>
        <v>#VALUE!</v>
      </c>
    </row>
    <row r="65" customFormat="1" customHeight="1" spans="1:28">
      <c r="A65" s="182"/>
      <c r="B65" s="182"/>
      <c r="C65" s="183" t="s">
        <v>361</v>
      </c>
      <c r="D65" s="184" t="s">
        <v>98</v>
      </c>
      <c r="E65" s="184" t="s">
        <v>346</v>
      </c>
      <c r="F65" s="184" t="s">
        <v>347</v>
      </c>
      <c r="G65" s="184"/>
      <c r="H65" s="185">
        <v>45189</v>
      </c>
      <c r="I65" s="193" t="s">
        <v>367</v>
      </c>
      <c r="J65" s="194" t="s">
        <v>389</v>
      </c>
      <c r="K65" s="184">
        <v>2</v>
      </c>
      <c r="L65" s="195">
        <v>318.58407079646</v>
      </c>
      <c r="M65" s="195">
        <v>393.805309734513</v>
      </c>
      <c r="N65" s="195">
        <f t="shared" si="14"/>
        <v>75.221238938053</v>
      </c>
      <c r="O65" s="196">
        <f t="shared" si="0"/>
        <v>0.191011235955056</v>
      </c>
      <c r="P65" s="195">
        <f t="shared" si="13"/>
        <v>11.8141592920354</v>
      </c>
      <c r="Q65" s="214">
        <f t="shared" si="1"/>
        <v>23.6283185840708</v>
      </c>
      <c r="R65" s="215">
        <f t="shared" si="2"/>
        <v>0.03</v>
      </c>
      <c r="S65" s="216">
        <f t="shared" si="3"/>
        <v>0.161011235955056</v>
      </c>
      <c r="T65" s="217">
        <f t="shared" si="4"/>
        <v>0.22</v>
      </c>
      <c r="U65" s="218">
        <v>0.06</v>
      </c>
      <c r="V65" s="219">
        <f t="shared" si="5"/>
        <v>0.19</v>
      </c>
      <c r="W65" s="219">
        <f t="shared" si="6"/>
        <v>-0.028988764044944</v>
      </c>
      <c r="X65" s="220" t="str">
        <f>IFERROR(SUMIF(#REF!,$A65,#REF!),"")</f>
        <v/>
      </c>
      <c r="Y65" s="227" t="e">
        <f t="shared" si="7"/>
        <v>#VALUE!</v>
      </c>
      <c r="Z65" s="228" t="s">
        <v>412</v>
      </c>
      <c r="AA65" s="228"/>
      <c r="AB65" s="229" t="e">
        <f t="shared" si="8"/>
        <v>#VALUE!</v>
      </c>
    </row>
    <row r="66" customFormat="1" customHeight="1" spans="1:28">
      <c r="A66" s="182"/>
      <c r="B66" s="182"/>
      <c r="C66" s="183" t="s">
        <v>361</v>
      </c>
      <c r="D66" s="184" t="s">
        <v>98</v>
      </c>
      <c r="E66" s="184" t="s">
        <v>346</v>
      </c>
      <c r="F66" s="184" t="s">
        <v>347</v>
      </c>
      <c r="G66" s="184"/>
      <c r="H66" s="185">
        <v>45190</v>
      </c>
      <c r="I66" s="193" t="s">
        <v>367</v>
      </c>
      <c r="J66" s="194" t="s">
        <v>389</v>
      </c>
      <c r="K66" s="184">
        <v>15</v>
      </c>
      <c r="L66" s="195">
        <v>318.58407079646</v>
      </c>
      <c r="M66" s="195">
        <v>393.805309734513</v>
      </c>
      <c r="N66" s="195">
        <f t="shared" si="14"/>
        <v>75.221238938053</v>
      </c>
      <c r="O66" s="196">
        <f t="shared" si="0"/>
        <v>0.191011235955056</v>
      </c>
      <c r="P66" s="195">
        <f t="shared" si="13"/>
        <v>11.8141592920354</v>
      </c>
      <c r="Q66" s="214">
        <f t="shared" si="1"/>
        <v>177.212389380531</v>
      </c>
      <c r="R66" s="215">
        <f t="shared" si="2"/>
        <v>0.03</v>
      </c>
      <c r="S66" s="216">
        <f t="shared" si="3"/>
        <v>0.161011235955056</v>
      </c>
      <c r="T66" s="217">
        <f t="shared" si="4"/>
        <v>0.22</v>
      </c>
      <c r="U66" s="218">
        <v>0.06</v>
      </c>
      <c r="V66" s="219">
        <f t="shared" si="5"/>
        <v>0.19</v>
      </c>
      <c r="W66" s="219">
        <f t="shared" si="6"/>
        <v>-0.028988764044944</v>
      </c>
      <c r="X66" s="220" t="str">
        <f>IFERROR(SUMIF(#REF!,$A66,#REF!),"")</f>
        <v/>
      </c>
      <c r="Y66" s="227" t="e">
        <f t="shared" si="7"/>
        <v>#VALUE!</v>
      </c>
      <c r="Z66" s="228" t="s">
        <v>413</v>
      </c>
      <c r="AA66" s="228"/>
      <c r="AB66" s="229" t="e">
        <f t="shared" si="8"/>
        <v>#VALUE!</v>
      </c>
    </row>
    <row r="67" customFormat="1" customHeight="1" spans="1:28">
      <c r="A67" s="182"/>
      <c r="B67" s="182"/>
      <c r="C67" s="183" t="s">
        <v>361</v>
      </c>
      <c r="D67" s="184" t="s">
        <v>98</v>
      </c>
      <c r="E67" s="184" t="s">
        <v>346</v>
      </c>
      <c r="F67" s="184" t="s">
        <v>347</v>
      </c>
      <c r="G67" s="184"/>
      <c r="H67" s="185">
        <v>45190</v>
      </c>
      <c r="I67" s="193" t="s">
        <v>362</v>
      </c>
      <c r="J67" s="194" t="s">
        <v>363</v>
      </c>
      <c r="K67" s="184">
        <v>5</v>
      </c>
      <c r="L67" s="195">
        <v>358.407079646018</v>
      </c>
      <c r="M67" s="195">
        <v>685.840707964602</v>
      </c>
      <c r="N67" s="195">
        <f t="shared" si="14"/>
        <v>327.433628318584</v>
      </c>
      <c r="O67" s="196">
        <f t="shared" si="0"/>
        <v>0.477419354838709</v>
      </c>
      <c r="P67" s="195">
        <f t="shared" si="13"/>
        <v>20.5752212389381</v>
      </c>
      <c r="Q67" s="214">
        <f t="shared" si="1"/>
        <v>102.87610619469</v>
      </c>
      <c r="R67" s="215">
        <f t="shared" si="2"/>
        <v>0.03</v>
      </c>
      <c r="S67" s="216">
        <f t="shared" si="3"/>
        <v>0.447419354838709</v>
      </c>
      <c r="T67" s="217">
        <f t="shared" si="4"/>
        <v>0.22</v>
      </c>
      <c r="U67" s="218">
        <v>0.06</v>
      </c>
      <c r="V67" s="219">
        <f t="shared" si="5"/>
        <v>0.19</v>
      </c>
      <c r="W67" s="219" t="str">
        <f t="shared" si="6"/>
        <v/>
      </c>
      <c r="X67" s="220" t="str">
        <f>IFERROR(SUMIF(#REF!,$A67,#REF!),"")</f>
        <v/>
      </c>
      <c r="Y67" s="227" t="e">
        <f t="shared" si="7"/>
        <v>#VALUE!</v>
      </c>
      <c r="Z67" s="228" t="s">
        <v>413</v>
      </c>
      <c r="AA67" s="228"/>
      <c r="AB67" s="229" t="e">
        <f t="shared" si="8"/>
        <v>#VALUE!</v>
      </c>
    </row>
    <row r="68" customFormat="1" customHeight="1" spans="1:28">
      <c r="A68" s="182"/>
      <c r="B68" s="182"/>
      <c r="C68" s="183" t="s">
        <v>361</v>
      </c>
      <c r="D68" s="184" t="s">
        <v>98</v>
      </c>
      <c r="E68" s="184" t="s">
        <v>346</v>
      </c>
      <c r="F68" s="184" t="s">
        <v>347</v>
      </c>
      <c r="G68" s="184"/>
      <c r="H68" s="185">
        <v>45191</v>
      </c>
      <c r="I68" s="193" t="s">
        <v>367</v>
      </c>
      <c r="J68" s="194" t="s">
        <v>389</v>
      </c>
      <c r="K68" s="184">
        <v>7</v>
      </c>
      <c r="L68" s="195">
        <v>318.58407079646</v>
      </c>
      <c r="M68" s="195">
        <v>393.805309734513</v>
      </c>
      <c r="N68" s="195">
        <f t="shared" si="14"/>
        <v>75.221238938053</v>
      </c>
      <c r="O68" s="196">
        <f t="shared" ref="O68:O119" si="15">IF(AND($N68&lt;&gt;0,$M68&lt;&gt;0),$N68/$M68,"")</f>
        <v>0.191011235955056</v>
      </c>
      <c r="P68" s="195">
        <f t="shared" si="13"/>
        <v>11.8141592920354</v>
      </c>
      <c r="Q68" s="214">
        <f t="shared" ref="Q68:Q119" si="16">P68*K68</f>
        <v>82.6991150442477</v>
      </c>
      <c r="R68" s="215">
        <f t="shared" ref="R68:R119" si="17">IF(AND($P68&lt;&gt;0,$M68&lt;&gt;0),$P68/$M68,"")</f>
        <v>0.03</v>
      </c>
      <c r="S68" s="216">
        <f t="shared" ref="S68:S119" si="18">IF(AND(($N68*$K68-$Q68)&lt;&gt;0,($M68*$K68)&lt;&gt;0),($N68*$K68-$Q68)/($M68*$K68),"")</f>
        <v>0.161011235955056</v>
      </c>
      <c r="T68" s="217">
        <f t="shared" ref="T68:T119" si="19">IF($C68="深圳福达通",22%,IF($C68="康为",26%,IF($C68="新浪潮",26%,IF($C68="湖南飞英达",25%,IF($C68="志奋领",26%)))))</f>
        <v>0.22</v>
      </c>
      <c r="U68" s="218">
        <v>0.06</v>
      </c>
      <c r="V68" s="219">
        <f t="shared" ref="V68:V119" si="20">IF(T68-U68+R68&gt;0,T68-U68+R68,IF(T68-U68+R68=0,""))</f>
        <v>0.19</v>
      </c>
      <c r="W68" s="219">
        <f t="shared" ref="W68:W119" si="21">IF(S68-V68&lt;0,S68-V68,IF(S68-V68&gt;0,""))</f>
        <v>-0.028988764044944</v>
      </c>
      <c r="X68" s="220" t="str">
        <f>IFERROR(SUMIF(#REF!,$A68,#REF!),"")</f>
        <v/>
      </c>
      <c r="Y68" s="227" t="e">
        <f t="shared" ref="Y68:Y119" si="22">IF(AND(($N68*$K68-$X68)&lt;&gt;0,($M68*$K68)&lt;&gt;0),($N68*$K68-$X68)/($M68*$K68),"")</f>
        <v>#VALUE!</v>
      </c>
      <c r="Z68" s="228" t="s">
        <v>414</v>
      </c>
      <c r="AA68" s="228"/>
      <c r="AB68" s="229" t="e">
        <f t="shared" ref="AB68:AB119" si="23">X68-Q68</f>
        <v>#VALUE!</v>
      </c>
    </row>
    <row r="69" customFormat="1" customHeight="1" spans="1:28">
      <c r="A69" s="182"/>
      <c r="B69" s="182"/>
      <c r="C69" s="183" t="s">
        <v>361</v>
      </c>
      <c r="D69" s="184" t="s">
        <v>98</v>
      </c>
      <c r="E69" s="184" t="s">
        <v>346</v>
      </c>
      <c r="F69" s="184" t="s">
        <v>347</v>
      </c>
      <c r="G69" s="184"/>
      <c r="H69" s="185">
        <v>45191</v>
      </c>
      <c r="I69" s="193" t="s">
        <v>362</v>
      </c>
      <c r="J69" s="194" t="s">
        <v>363</v>
      </c>
      <c r="K69" s="184">
        <v>2</v>
      </c>
      <c r="L69" s="195">
        <v>358.407079646018</v>
      </c>
      <c r="M69" s="195">
        <v>685.840707964602</v>
      </c>
      <c r="N69" s="195">
        <f t="shared" si="14"/>
        <v>327.433628318584</v>
      </c>
      <c r="O69" s="196">
        <f t="shared" si="15"/>
        <v>0.477419354838709</v>
      </c>
      <c r="P69" s="195">
        <f t="shared" ref="P69:P100" si="24">M69*0.03</f>
        <v>20.5752212389381</v>
      </c>
      <c r="Q69" s="214">
        <f t="shared" si="16"/>
        <v>41.1504424778761</v>
      </c>
      <c r="R69" s="215">
        <f t="shared" si="17"/>
        <v>0.03</v>
      </c>
      <c r="S69" s="216">
        <f t="shared" si="18"/>
        <v>0.447419354838709</v>
      </c>
      <c r="T69" s="217">
        <f t="shared" si="19"/>
        <v>0.22</v>
      </c>
      <c r="U69" s="218">
        <v>0.06</v>
      </c>
      <c r="V69" s="219">
        <f t="shared" si="20"/>
        <v>0.19</v>
      </c>
      <c r="W69" s="219" t="str">
        <f t="shared" si="21"/>
        <v/>
      </c>
      <c r="X69" s="220" t="str">
        <f>IFERROR(SUMIF(#REF!,$A69,#REF!),"")</f>
        <v/>
      </c>
      <c r="Y69" s="227" t="e">
        <f t="shared" si="22"/>
        <v>#VALUE!</v>
      </c>
      <c r="Z69" s="228" t="s">
        <v>414</v>
      </c>
      <c r="AA69" s="228"/>
      <c r="AB69" s="229" t="e">
        <f t="shared" si="23"/>
        <v>#VALUE!</v>
      </c>
    </row>
    <row r="70" customFormat="1" customHeight="1" spans="1:28">
      <c r="A70" s="182"/>
      <c r="B70" s="182"/>
      <c r="C70" s="183" t="s">
        <v>361</v>
      </c>
      <c r="D70" s="184" t="s">
        <v>98</v>
      </c>
      <c r="E70" s="184" t="s">
        <v>346</v>
      </c>
      <c r="F70" s="184" t="s">
        <v>347</v>
      </c>
      <c r="G70" s="184"/>
      <c r="H70" s="185">
        <v>45195</v>
      </c>
      <c r="I70" s="193" t="s">
        <v>362</v>
      </c>
      <c r="J70" s="194" t="s">
        <v>363</v>
      </c>
      <c r="K70" s="184">
        <v>1</v>
      </c>
      <c r="L70" s="195">
        <v>358.407079646018</v>
      </c>
      <c r="M70" s="195">
        <v>685.840707964602</v>
      </c>
      <c r="N70" s="195">
        <f t="shared" si="14"/>
        <v>327.433628318584</v>
      </c>
      <c r="O70" s="196">
        <f t="shared" si="15"/>
        <v>0.477419354838709</v>
      </c>
      <c r="P70" s="195">
        <f t="shared" si="24"/>
        <v>20.5752212389381</v>
      </c>
      <c r="Q70" s="214">
        <f t="shared" si="16"/>
        <v>20.5752212389381</v>
      </c>
      <c r="R70" s="215">
        <f t="shared" si="17"/>
        <v>0.03</v>
      </c>
      <c r="S70" s="216">
        <f t="shared" si="18"/>
        <v>0.447419354838709</v>
      </c>
      <c r="T70" s="217">
        <f t="shared" si="19"/>
        <v>0.22</v>
      </c>
      <c r="U70" s="218">
        <v>0.06</v>
      </c>
      <c r="V70" s="219">
        <f t="shared" si="20"/>
        <v>0.19</v>
      </c>
      <c r="W70" s="219" t="str">
        <f t="shared" si="21"/>
        <v/>
      </c>
      <c r="X70" s="220" t="str">
        <f>IFERROR(SUMIF(#REF!,$A70,#REF!),"")</f>
        <v/>
      </c>
      <c r="Y70" s="227" t="e">
        <f t="shared" si="22"/>
        <v>#VALUE!</v>
      </c>
      <c r="Z70" s="228" t="s">
        <v>415</v>
      </c>
      <c r="AA70" s="228"/>
      <c r="AB70" s="229" t="e">
        <f t="shared" si="23"/>
        <v>#VALUE!</v>
      </c>
    </row>
    <row r="71" customFormat="1" customHeight="1" spans="1:28">
      <c r="A71" s="182"/>
      <c r="B71" s="182"/>
      <c r="C71" s="183" t="s">
        <v>361</v>
      </c>
      <c r="D71" s="184" t="s">
        <v>98</v>
      </c>
      <c r="E71" s="184" t="s">
        <v>346</v>
      </c>
      <c r="F71" s="184" t="s">
        <v>347</v>
      </c>
      <c r="G71" s="184"/>
      <c r="H71" s="185">
        <v>45195</v>
      </c>
      <c r="I71" s="193" t="s">
        <v>367</v>
      </c>
      <c r="J71" s="194" t="s">
        <v>389</v>
      </c>
      <c r="K71" s="184">
        <v>1</v>
      </c>
      <c r="L71" s="195">
        <v>318.58407079646</v>
      </c>
      <c r="M71" s="195">
        <v>393.805309734513</v>
      </c>
      <c r="N71" s="195">
        <f t="shared" si="14"/>
        <v>75.221238938053</v>
      </c>
      <c r="O71" s="196">
        <f t="shared" si="15"/>
        <v>0.191011235955056</v>
      </c>
      <c r="P71" s="195">
        <f t="shared" si="24"/>
        <v>11.8141592920354</v>
      </c>
      <c r="Q71" s="214">
        <f t="shared" si="16"/>
        <v>11.8141592920354</v>
      </c>
      <c r="R71" s="215">
        <f t="shared" si="17"/>
        <v>0.03</v>
      </c>
      <c r="S71" s="216">
        <f t="shared" si="18"/>
        <v>0.161011235955056</v>
      </c>
      <c r="T71" s="217">
        <f t="shared" si="19"/>
        <v>0.22</v>
      </c>
      <c r="U71" s="218">
        <v>0.06</v>
      </c>
      <c r="V71" s="219">
        <f t="shared" si="20"/>
        <v>0.19</v>
      </c>
      <c r="W71" s="219">
        <f t="shared" si="21"/>
        <v>-0.028988764044944</v>
      </c>
      <c r="X71" s="220" t="str">
        <f>IFERROR(SUMIF(#REF!,$A71,#REF!),"")</f>
        <v/>
      </c>
      <c r="Y71" s="227" t="e">
        <f t="shared" si="22"/>
        <v>#VALUE!</v>
      </c>
      <c r="Z71" s="228" t="s">
        <v>416</v>
      </c>
      <c r="AA71" s="228"/>
      <c r="AB71" s="229" t="e">
        <f t="shared" si="23"/>
        <v>#VALUE!</v>
      </c>
    </row>
    <row r="72" customFormat="1" customHeight="1" spans="1:28">
      <c r="A72" s="182"/>
      <c r="B72" s="182"/>
      <c r="C72" s="183" t="s">
        <v>361</v>
      </c>
      <c r="D72" s="184" t="s">
        <v>98</v>
      </c>
      <c r="E72" s="184" t="s">
        <v>346</v>
      </c>
      <c r="F72" s="184" t="s">
        <v>347</v>
      </c>
      <c r="G72" s="184"/>
      <c r="H72" s="185">
        <v>45206</v>
      </c>
      <c r="I72" s="193" t="s">
        <v>367</v>
      </c>
      <c r="J72" s="194" t="s">
        <v>417</v>
      </c>
      <c r="K72" s="184">
        <v>6</v>
      </c>
      <c r="L72" s="195">
        <v>318.58407079646</v>
      </c>
      <c r="M72" s="195">
        <v>393.805309734513</v>
      </c>
      <c r="N72" s="195">
        <f t="shared" si="14"/>
        <v>75.221238938053</v>
      </c>
      <c r="O72" s="196">
        <f t="shared" si="15"/>
        <v>0.191011235955056</v>
      </c>
      <c r="P72" s="195">
        <f t="shared" si="24"/>
        <v>11.8141592920354</v>
      </c>
      <c r="Q72" s="214">
        <f t="shared" si="16"/>
        <v>70.8849557522123</v>
      </c>
      <c r="R72" s="215">
        <f t="shared" si="17"/>
        <v>0.03</v>
      </c>
      <c r="S72" s="216">
        <f t="shared" si="18"/>
        <v>0.161011235955056</v>
      </c>
      <c r="T72" s="217">
        <f t="shared" si="19"/>
        <v>0.22</v>
      </c>
      <c r="U72" s="218">
        <v>0.06</v>
      </c>
      <c r="V72" s="219">
        <f t="shared" si="20"/>
        <v>0.19</v>
      </c>
      <c r="W72" s="219">
        <f t="shared" si="21"/>
        <v>-0.028988764044944</v>
      </c>
      <c r="X72" s="220" t="str">
        <f>IFERROR(SUMIF(#REF!,$A72,#REF!),"")</f>
        <v/>
      </c>
      <c r="Y72" s="227" t="e">
        <f t="shared" si="22"/>
        <v>#VALUE!</v>
      </c>
      <c r="Z72" s="228" t="s">
        <v>418</v>
      </c>
      <c r="AA72" s="228"/>
      <c r="AB72" s="229" t="e">
        <f t="shared" si="23"/>
        <v>#VALUE!</v>
      </c>
    </row>
    <row r="73" customFormat="1" customHeight="1" spans="1:28">
      <c r="A73" s="182"/>
      <c r="B73" s="182"/>
      <c r="C73" s="183" t="s">
        <v>361</v>
      </c>
      <c r="D73" s="184" t="s">
        <v>98</v>
      </c>
      <c r="E73" s="184" t="s">
        <v>346</v>
      </c>
      <c r="F73" s="184" t="s">
        <v>347</v>
      </c>
      <c r="G73" s="184"/>
      <c r="H73" s="185">
        <v>45206</v>
      </c>
      <c r="I73" s="193" t="s">
        <v>362</v>
      </c>
      <c r="J73" s="194" t="s">
        <v>363</v>
      </c>
      <c r="K73" s="184">
        <v>1</v>
      </c>
      <c r="L73" s="195">
        <v>358.407079646018</v>
      </c>
      <c r="M73" s="195">
        <v>685.840707964602</v>
      </c>
      <c r="N73" s="195">
        <f t="shared" si="14"/>
        <v>327.433628318584</v>
      </c>
      <c r="O73" s="196">
        <f t="shared" si="15"/>
        <v>0.477419354838709</v>
      </c>
      <c r="P73" s="195">
        <f t="shared" si="24"/>
        <v>20.5752212389381</v>
      </c>
      <c r="Q73" s="214">
        <f t="shared" si="16"/>
        <v>20.5752212389381</v>
      </c>
      <c r="R73" s="215">
        <f t="shared" si="17"/>
        <v>0.03</v>
      </c>
      <c r="S73" s="216">
        <f t="shared" si="18"/>
        <v>0.447419354838709</v>
      </c>
      <c r="T73" s="217">
        <f t="shared" si="19"/>
        <v>0.22</v>
      </c>
      <c r="U73" s="218">
        <v>0.06</v>
      </c>
      <c r="V73" s="219">
        <f t="shared" si="20"/>
        <v>0.19</v>
      </c>
      <c r="W73" s="219" t="str">
        <f t="shared" si="21"/>
        <v/>
      </c>
      <c r="X73" s="220" t="str">
        <f>IFERROR(SUMIF(#REF!,$A73,#REF!),"")</f>
        <v/>
      </c>
      <c r="Y73" s="227" t="e">
        <f t="shared" si="22"/>
        <v>#VALUE!</v>
      </c>
      <c r="Z73" s="228" t="s">
        <v>419</v>
      </c>
      <c r="AA73" s="228"/>
      <c r="AB73" s="229" t="e">
        <f t="shared" si="23"/>
        <v>#VALUE!</v>
      </c>
    </row>
    <row r="74" customFormat="1" customHeight="1" spans="1:28">
      <c r="A74" s="182"/>
      <c r="B74" s="182"/>
      <c r="C74" s="183" t="s">
        <v>361</v>
      </c>
      <c r="D74" s="184" t="s">
        <v>98</v>
      </c>
      <c r="E74" s="184" t="s">
        <v>346</v>
      </c>
      <c r="F74" s="184" t="s">
        <v>347</v>
      </c>
      <c r="G74" s="184"/>
      <c r="H74" s="185">
        <v>45207</v>
      </c>
      <c r="I74" s="193" t="s">
        <v>362</v>
      </c>
      <c r="J74" s="194" t="s">
        <v>420</v>
      </c>
      <c r="K74" s="184">
        <v>1</v>
      </c>
      <c r="L74" s="195">
        <v>424.778761061947</v>
      </c>
      <c r="M74" s="195">
        <v>721.238938053097</v>
      </c>
      <c r="N74" s="195">
        <f t="shared" si="14"/>
        <v>296.46017699115</v>
      </c>
      <c r="O74" s="196">
        <f t="shared" si="15"/>
        <v>0.411042944785276</v>
      </c>
      <c r="P74" s="195">
        <f t="shared" si="24"/>
        <v>21.6371681415929</v>
      </c>
      <c r="Q74" s="214">
        <f t="shared" si="16"/>
        <v>21.6371681415929</v>
      </c>
      <c r="R74" s="215">
        <f t="shared" si="17"/>
        <v>0.03</v>
      </c>
      <c r="S74" s="216">
        <f t="shared" si="18"/>
        <v>0.381042944785276</v>
      </c>
      <c r="T74" s="217">
        <f t="shared" si="19"/>
        <v>0.22</v>
      </c>
      <c r="U74" s="218">
        <v>0.06</v>
      </c>
      <c r="V74" s="219">
        <f t="shared" si="20"/>
        <v>0.19</v>
      </c>
      <c r="W74" s="219" t="str">
        <f t="shared" si="21"/>
        <v/>
      </c>
      <c r="X74" s="220" t="str">
        <f>IFERROR(SUMIF(#REF!,$A74,#REF!),"")</f>
        <v/>
      </c>
      <c r="Y74" s="227" t="e">
        <f t="shared" si="22"/>
        <v>#VALUE!</v>
      </c>
      <c r="Z74" s="228" t="s">
        <v>421</v>
      </c>
      <c r="AA74" s="228"/>
      <c r="AB74" s="229" t="e">
        <f t="shared" si="23"/>
        <v>#VALUE!</v>
      </c>
    </row>
    <row r="75" customFormat="1" customHeight="1" spans="1:28">
      <c r="A75" s="182"/>
      <c r="B75" s="182"/>
      <c r="C75" s="183" t="s">
        <v>361</v>
      </c>
      <c r="D75" s="184" t="s">
        <v>98</v>
      </c>
      <c r="E75" s="184" t="s">
        <v>346</v>
      </c>
      <c r="F75" s="184" t="s">
        <v>347</v>
      </c>
      <c r="G75" s="184"/>
      <c r="H75" s="185">
        <v>45209</v>
      </c>
      <c r="I75" s="193" t="s">
        <v>362</v>
      </c>
      <c r="J75" s="194" t="s">
        <v>422</v>
      </c>
      <c r="K75" s="184">
        <v>1</v>
      </c>
      <c r="L75" s="195">
        <v>203.097345132743</v>
      </c>
      <c r="M75" s="195">
        <v>376.106194690266</v>
      </c>
      <c r="N75" s="195">
        <f t="shared" si="14"/>
        <v>173.008849557523</v>
      </c>
      <c r="O75" s="196">
        <f t="shared" si="15"/>
        <v>0.460000000000002</v>
      </c>
      <c r="P75" s="195">
        <f t="shared" si="24"/>
        <v>11.283185840708</v>
      </c>
      <c r="Q75" s="214">
        <f t="shared" si="16"/>
        <v>11.283185840708</v>
      </c>
      <c r="R75" s="215">
        <f t="shared" si="17"/>
        <v>0.03</v>
      </c>
      <c r="S75" s="216">
        <f t="shared" si="18"/>
        <v>0.430000000000002</v>
      </c>
      <c r="T75" s="217">
        <f t="shared" si="19"/>
        <v>0.22</v>
      </c>
      <c r="U75" s="218">
        <v>0.06</v>
      </c>
      <c r="V75" s="219">
        <f t="shared" si="20"/>
        <v>0.19</v>
      </c>
      <c r="W75" s="219" t="str">
        <f t="shared" si="21"/>
        <v/>
      </c>
      <c r="X75" s="220" t="str">
        <f>IFERROR(SUMIF(#REF!,$A75,#REF!),"")</f>
        <v/>
      </c>
      <c r="Y75" s="227" t="e">
        <f t="shared" si="22"/>
        <v>#VALUE!</v>
      </c>
      <c r="Z75" s="228" t="s">
        <v>423</v>
      </c>
      <c r="AA75" s="228"/>
      <c r="AB75" s="229" t="e">
        <f t="shared" si="23"/>
        <v>#VALUE!</v>
      </c>
    </row>
    <row r="76" customFormat="1" customHeight="1" spans="1:28">
      <c r="A76" s="182"/>
      <c r="B76" s="182"/>
      <c r="C76" s="183" t="s">
        <v>361</v>
      </c>
      <c r="D76" s="184" t="s">
        <v>98</v>
      </c>
      <c r="E76" s="184" t="s">
        <v>346</v>
      </c>
      <c r="F76" s="184" t="s">
        <v>347</v>
      </c>
      <c r="G76" s="184"/>
      <c r="H76" s="185">
        <v>45211</v>
      </c>
      <c r="I76" s="193" t="s">
        <v>367</v>
      </c>
      <c r="J76" s="194" t="s">
        <v>424</v>
      </c>
      <c r="K76" s="184">
        <v>28</v>
      </c>
      <c r="L76" s="195">
        <v>3474.43</v>
      </c>
      <c r="M76" s="195">
        <v>4070.79646017699</v>
      </c>
      <c r="N76" s="195">
        <f t="shared" si="14"/>
        <v>596.36646017699</v>
      </c>
      <c r="O76" s="196">
        <f t="shared" si="15"/>
        <v>0.146498717391304</v>
      </c>
      <c r="P76" s="195">
        <f t="shared" si="24"/>
        <v>122.12389380531</v>
      </c>
      <c r="Q76" s="214">
        <f t="shared" si="16"/>
        <v>3419.46902654867</v>
      </c>
      <c r="R76" s="215">
        <f t="shared" si="17"/>
        <v>0.03</v>
      </c>
      <c r="S76" s="216">
        <f t="shared" si="18"/>
        <v>0.116498717391304</v>
      </c>
      <c r="T76" s="217">
        <f t="shared" si="19"/>
        <v>0.22</v>
      </c>
      <c r="U76" s="218">
        <v>0.06</v>
      </c>
      <c r="V76" s="219">
        <f t="shared" si="20"/>
        <v>0.19</v>
      </c>
      <c r="W76" s="219">
        <f t="shared" si="21"/>
        <v>-0.0735012826086959</v>
      </c>
      <c r="X76" s="220" t="str">
        <f>IFERROR(SUMIF(#REF!,$A76,#REF!),"")</f>
        <v/>
      </c>
      <c r="Y76" s="227" t="e">
        <f t="shared" si="22"/>
        <v>#VALUE!</v>
      </c>
      <c r="Z76" s="228" t="s">
        <v>425</v>
      </c>
      <c r="AA76" s="228"/>
      <c r="AB76" s="229" t="e">
        <f t="shared" si="23"/>
        <v>#VALUE!</v>
      </c>
    </row>
    <row r="77" customFormat="1" customHeight="1" spans="1:28">
      <c r="A77" s="182"/>
      <c r="B77" s="182"/>
      <c r="C77" s="183" t="s">
        <v>361</v>
      </c>
      <c r="D77" s="184" t="s">
        <v>98</v>
      </c>
      <c r="E77" s="184" t="s">
        <v>346</v>
      </c>
      <c r="F77" s="184" t="s">
        <v>347</v>
      </c>
      <c r="G77" s="184"/>
      <c r="H77" s="185">
        <v>45211</v>
      </c>
      <c r="I77" s="193" t="s">
        <v>362</v>
      </c>
      <c r="J77" s="194" t="s">
        <v>422</v>
      </c>
      <c r="K77" s="184">
        <v>1</v>
      </c>
      <c r="L77" s="195">
        <v>203.097345132743</v>
      </c>
      <c r="M77" s="195">
        <v>376.106194690266</v>
      </c>
      <c r="N77" s="195">
        <f t="shared" ref="N77:N108" si="25">M77-L77</f>
        <v>173.008849557523</v>
      </c>
      <c r="O77" s="196">
        <f t="shared" si="15"/>
        <v>0.460000000000002</v>
      </c>
      <c r="P77" s="195">
        <f t="shared" si="24"/>
        <v>11.283185840708</v>
      </c>
      <c r="Q77" s="214">
        <f t="shared" si="16"/>
        <v>11.283185840708</v>
      </c>
      <c r="R77" s="215">
        <f t="shared" si="17"/>
        <v>0.03</v>
      </c>
      <c r="S77" s="216">
        <f t="shared" si="18"/>
        <v>0.430000000000002</v>
      </c>
      <c r="T77" s="217">
        <f t="shared" si="19"/>
        <v>0.22</v>
      </c>
      <c r="U77" s="218">
        <v>0.06</v>
      </c>
      <c r="V77" s="219">
        <f t="shared" si="20"/>
        <v>0.19</v>
      </c>
      <c r="W77" s="219" t="str">
        <f t="shared" si="21"/>
        <v/>
      </c>
      <c r="X77" s="220" t="str">
        <f>IFERROR(SUMIF(#REF!,$A77,#REF!),"")</f>
        <v/>
      </c>
      <c r="Y77" s="227" t="e">
        <f t="shared" si="22"/>
        <v>#VALUE!</v>
      </c>
      <c r="Z77" s="228" t="s">
        <v>426</v>
      </c>
      <c r="AA77" s="228"/>
      <c r="AB77" s="229" t="e">
        <f t="shared" si="23"/>
        <v>#VALUE!</v>
      </c>
    </row>
    <row r="78" customFormat="1" customHeight="1" spans="1:28">
      <c r="A78" s="182"/>
      <c r="B78" s="182"/>
      <c r="C78" s="183" t="s">
        <v>361</v>
      </c>
      <c r="D78" s="184" t="s">
        <v>98</v>
      </c>
      <c r="E78" s="184" t="s">
        <v>346</v>
      </c>
      <c r="F78" s="184" t="s">
        <v>347</v>
      </c>
      <c r="G78" s="184"/>
      <c r="H78" s="185">
        <v>45212</v>
      </c>
      <c r="I78" s="193" t="s">
        <v>362</v>
      </c>
      <c r="J78" s="194" t="s">
        <v>427</v>
      </c>
      <c r="K78" s="184">
        <v>1</v>
      </c>
      <c r="L78" s="195">
        <v>371.681415929204</v>
      </c>
      <c r="M78" s="195">
        <v>650.442477876106</v>
      </c>
      <c r="N78" s="195">
        <f t="shared" si="25"/>
        <v>278.761061946902</v>
      </c>
      <c r="O78" s="196">
        <f t="shared" si="15"/>
        <v>0.428571428571428</v>
      </c>
      <c r="P78" s="195">
        <f t="shared" si="24"/>
        <v>19.5132743362832</v>
      </c>
      <c r="Q78" s="214">
        <f t="shared" si="16"/>
        <v>19.5132743362832</v>
      </c>
      <c r="R78" s="215">
        <f t="shared" si="17"/>
        <v>0.03</v>
      </c>
      <c r="S78" s="216">
        <f t="shared" si="18"/>
        <v>0.398571428571428</v>
      </c>
      <c r="T78" s="217">
        <f t="shared" si="19"/>
        <v>0.22</v>
      </c>
      <c r="U78" s="218">
        <v>0.06</v>
      </c>
      <c r="V78" s="219">
        <f t="shared" si="20"/>
        <v>0.19</v>
      </c>
      <c r="W78" s="219" t="str">
        <f t="shared" si="21"/>
        <v/>
      </c>
      <c r="X78" s="220" t="str">
        <f>IFERROR(SUMIF(#REF!,$A78,#REF!),"")</f>
        <v/>
      </c>
      <c r="Y78" s="227" t="e">
        <f t="shared" si="22"/>
        <v>#VALUE!</v>
      </c>
      <c r="Z78" s="228" t="s">
        <v>428</v>
      </c>
      <c r="AA78" s="228"/>
      <c r="AB78" s="229" t="e">
        <f t="shared" si="23"/>
        <v>#VALUE!</v>
      </c>
    </row>
    <row r="79" customFormat="1" customHeight="1" spans="1:28">
      <c r="A79" s="182"/>
      <c r="B79" s="182"/>
      <c r="C79" s="183" t="s">
        <v>361</v>
      </c>
      <c r="D79" s="184" t="s">
        <v>98</v>
      </c>
      <c r="E79" s="184" t="s">
        <v>346</v>
      </c>
      <c r="F79" s="184" t="s">
        <v>347</v>
      </c>
      <c r="G79" s="184"/>
      <c r="H79" s="185">
        <v>45215</v>
      </c>
      <c r="I79" s="193" t="s">
        <v>362</v>
      </c>
      <c r="J79" s="194" t="s">
        <v>422</v>
      </c>
      <c r="K79" s="184">
        <v>1</v>
      </c>
      <c r="L79" s="195">
        <v>203.097345132743</v>
      </c>
      <c r="M79" s="195">
        <v>376.106194690266</v>
      </c>
      <c r="N79" s="195">
        <f t="shared" si="25"/>
        <v>173.008849557523</v>
      </c>
      <c r="O79" s="196">
        <f t="shared" si="15"/>
        <v>0.460000000000002</v>
      </c>
      <c r="P79" s="195">
        <f t="shared" si="24"/>
        <v>11.283185840708</v>
      </c>
      <c r="Q79" s="214">
        <f t="shared" si="16"/>
        <v>11.283185840708</v>
      </c>
      <c r="R79" s="215">
        <f t="shared" si="17"/>
        <v>0.03</v>
      </c>
      <c r="S79" s="216">
        <f t="shared" si="18"/>
        <v>0.430000000000002</v>
      </c>
      <c r="T79" s="217">
        <f t="shared" si="19"/>
        <v>0.22</v>
      </c>
      <c r="U79" s="218">
        <v>0.06</v>
      </c>
      <c r="V79" s="219">
        <f t="shared" si="20"/>
        <v>0.19</v>
      </c>
      <c r="W79" s="219" t="str">
        <f t="shared" si="21"/>
        <v/>
      </c>
      <c r="X79" s="220" t="str">
        <f>IFERROR(SUMIF(#REF!,$A79,#REF!),"")</f>
        <v/>
      </c>
      <c r="Y79" s="227" t="e">
        <f t="shared" si="22"/>
        <v>#VALUE!</v>
      </c>
      <c r="Z79" s="228" t="s">
        <v>429</v>
      </c>
      <c r="AA79" s="228"/>
      <c r="AB79" s="229" t="e">
        <f t="shared" si="23"/>
        <v>#VALUE!</v>
      </c>
    </row>
    <row r="80" customFormat="1" customHeight="1" spans="1:28">
      <c r="A80" s="182"/>
      <c r="B80" s="182"/>
      <c r="C80" s="183" t="s">
        <v>361</v>
      </c>
      <c r="D80" s="184" t="s">
        <v>98</v>
      </c>
      <c r="E80" s="184" t="s">
        <v>346</v>
      </c>
      <c r="F80" s="184" t="s">
        <v>347</v>
      </c>
      <c r="G80" s="184"/>
      <c r="H80" s="185">
        <v>45215</v>
      </c>
      <c r="I80" s="193" t="s">
        <v>362</v>
      </c>
      <c r="J80" s="194" t="s">
        <v>363</v>
      </c>
      <c r="K80" s="184">
        <v>1</v>
      </c>
      <c r="L80" s="195">
        <v>358.407079646018</v>
      </c>
      <c r="M80" s="195">
        <v>685.840707964602</v>
      </c>
      <c r="N80" s="195">
        <f t="shared" si="25"/>
        <v>327.433628318584</v>
      </c>
      <c r="O80" s="196">
        <f t="shared" si="15"/>
        <v>0.477419354838709</v>
      </c>
      <c r="P80" s="195">
        <f t="shared" si="24"/>
        <v>20.5752212389381</v>
      </c>
      <c r="Q80" s="214">
        <f t="shared" si="16"/>
        <v>20.5752212389381</v>
      </c>
      <c r="R80" s="215">
        <f t="shared" si="17"/>
        <v>0.03</v>
      </c>
      <c r="S80" s="216">
        <f t="shared" si="18"/>
        <v>0.447419354838709</v>
      </c>
      <c r="T80" s="217">
        <f t="shared" si="19"/>
        <v>0.22</v>
      </c>
      <c r="U80" s="218">
        <v>0.06</v>
      </c>
      <c r="V80" s="219">
        <f t="shared" si="20"/>
        <v>0.19</v>
      </c>
      <c r="W80" s="219" t="str">
        <f t="shared" si="21"/>
        <v/>
      </c>
      <c r="X80" s="220" t="str">
        <f>IFERROR(SUMIF(#REF!,$A80,#REF!),"")</f>
        <v/>
      </c>
      <c r="Y80" s="227" t="e">
        <f t="shared" si="22"/>
        <v>#VALUE!</v>
      </c>
      <c r="Z80" s="228" t="s">
        <v>430</v>
      </c>
      <c r="AA80" s="228"/>
      <c r="AB80" s="229" t="e">
        <f t="shared" si="23"/>
        <v>#VALUE!</v>
      </c>
    </row>
    <row r="81" customFormat="1" customHeight="1" spans="1:28">
      <c r="A81" s="182"/>
      <c r="B81" s="182"/>
      <c r="C81" s="183" t="s">
        <v>361</v>
      </c>
      <c r="D81" s="184" t="s">
        <v>98</v>
      </c>
      <c r="E81" s="184" t="s">
        <v>346</v>
      </c>
      <c r="F81" s="184" t="s">
        <v>347</v>
      </c>
      <c r="G81" s="184"/>
      <c r="H81" s="185">
        <v>45215</v>
      </c>
      <c r="I81" s="193" t="s">
        <v>362</v>
      </c>
      <c r="J81" s="194" t="s">
        <v>422</v>
      </c>
      <c r="K81" s="184">
        <v>1</v>
      </c>
      <c r="L81" s="195">
        <v>203.097345132743</v>
      </c>
      <c r="M81" s="195">
        <v>376.106194690266</v>
      </c>
      <c r="N81" s="195">
        <f t="shared" si="25"/>
        <v>173.008849557523</v>
      </c>
      <c r="O81" s="196">
        <f t="shared" si="15"/>
        <v>0.460000000000002</v>
      </c>
      <c r="P81" s="195">
        <f t="shared" si="24"/>
        <v>11.283185840708</v>
      </c>
      <c r="Q81" s="214">
        <f t="shared" si="16"/>
        <v>11.283185840708</v>
      </c>
      <c r="R81" s="215">
        <f t="shared" si="17"/>
        <v>0.03</v>
      </c>
      <c r="S81" s="216">
        <f t="shared" si="18"/>
        <v>0.430000000000002</v>
      </c>
      <c r="T81" s="217">
        <f t="shared" si="19"/>
        <v>0.22</v>
      </c>
      <c r="U81" s="218">
        <v>0.06</v>
      </c>
      <c r="V81" s="219">
        <f t="shared" si="20"/>
        <v>0.19</v>
      </c>
      <c r="W81" s="219" t="str">
        <f t="shared" si="21"/>
        <v/>
      </c>
      <c r="X81" s="220" t="str">
        <f>IFERROR(SUMIF(#REF!,$A81,#REF!),"")</f>
        <v/>
      </c>
      <c r="Y81" s="227" t="e">
        <f t="shared" si="22"/>
        <v>#VALUE!</v>
      </c>
      <c r="Z81" s="228" t="s">
        <v>430</v>
      </c>
      <c r="AA81" s="228"/>
      <c r="AB81" s="229" t="e">
        <f t="shared" si="23"/>
        <v>#VALUE!</v>
      </c>
    </row>
    <row r="82" customFormat="1" customHeight="1" spans="1:28">
      <c r="A82" s="182"/>
      <c r="B82" s="182"/>
      <c r="C82" s="183" t="s">
        <v>361</v>
      </c>
      <c r="D82" s="184" t="s">
        <v>98</v>
      </c>
      <c r="E82" s="184" t="s">
        <v>346</v>
      </c>
      <c r="F82" s="184" t="s">
        <v>347</v>
      </c>
      <c r="G82" s="184"/>
      <c r="H82" s="185">
        <v>45215</v>
      </c>
      <c r="I82" s="193" t="s">
        <v>362</v>
      </c>
      <c r="J82" s="194" t="s">
        <v>422</v>
      </c>
      <c r="K82" s="184">
        <v>3</v>
      </c>
      <c r="L82" s="195">
        <v>203.097345132743</v>
      </c>
      <c r="M82" s="195">
        <v>376.106194690266</v>
      </c>
      <c r="N82" s="195">
        <f t="shared" si="25"/>
        <v>173.008849557523</v>
      </c>
      <c r="O82" s="196">
        <f t="shared" si="15"/>
        <v>0.460000000000002</v>
      </c>
      <c r="P82" s="195">
        <f t="shared" si="24"/>
        <v>11.283185840708</v>
      </c>
      <c r="Q82" s="214">
        <f t="shared" si="16"/>
        <v>33.8495575221239</v>
      </c>
      <c r="R82" s="215">
        <f t="shared" si="17"/>
        <v>0.03</v>
      </c>
      <c r="S82" s="216">
        <f t="shared" si="18"/>
        <v>0.430000000000002</v>
      </c>
      <c r="T82" s="217">
        <f t="shared" si="19"/>
        <v>0.22</v>
      </c>
      <c r="U82" s="218">
        <v>0.06</v>
      </c>
      <c r="V82" s="219">
        <f t="shared" si="20"/>
        <v>0.19</v>
      </c>
      <c r="W82" s="219" t="str">
        <f t="shared" si="21"/>
        <v/>
      </c>
      <c r="X82" s="220" t="str">
        <f>IFERROR(SUMIF(#REF!,$A82,#REF!),"")</f>
        <v/>
      </c>
      <c r="Y82" s="227" t="e">
        <f t="shared" si="22"/>
        <v>#VALUE!</v>
      </c>
      <c r="Z82" s="228" t="s">
        <v>431</v>
      </c>
      <c r="AA82" s="228"/>
      <c r="AB82" s="229" t="e">
        <f t="shared" si="23"/>
        <v>#VALUE!</v>
      </c>
    </row>
    <row r="83" customFormat="1" customHeight="1" spans="1:28">
      <c r="A83" s="182"/>
      <c r="B83" s="182"/>
      <c r="C83" s="183" t="s">
        <v>361</v>
      </c>
      <c r="D83" s="184" t="s">
        <v>98</v>
      </c>
      <c r="E83" s="184" t="s">
        <v>346</v>
      </c>
      <c r="F83" s="184" t="s">
        <v>347</v>
      </c>
      <c r="G83" s="184"/>
      <c r="H83" s="185">
        <v>45218</v>
      </c>
      <c r="I83" s="193" t="s">
        <v>362</v>
      </c>
      <c r="J83" s="194" t="s">
        <v>422</v>
      </c>
      <c r="K83" s="184">
        <v>2</v>
      </c>
      <c r="L83" s="195">
        <v>203.097345132743</v>
      </c>
      <c r="M83" s="195">
        <v>376.106194690266</v>
      </c>
      <c r="N83" s="195">
        <f t="shared" si="25"/>
        <v>173.008849557523</v>
      </c>
      <c r="O83" s="196">
        <f t="shared" si="15"/>
        <v>0.460000000000002</v>
      </c>
      <c r="P83" s="195">
        <f t="shared" si="24"/>
        <v>11.283185840708</v>
      </c>
      <c r="Q83" s="214">
        <f t="shared" si="16"/>
        <v>22.566371681416</v>
      </c>
      <c r="R83" s="215">
        <f t="shared" si="17"/>
        <v>0.03</v>
      </c>
      <c r="S83" s="216">
        <f t="shared" si="18"/>
        <v>0.430000000000002</v>
      </c>
      <c r="T83" s="217">
        <f t="shared" si="19"/>
        <v>0.22</v>
      </c>
      <c r="U83" s="218">
        <v>0.06</v>
      </c>
      <c r="V83" s="219">
        <f t="shared" si="20"/>
        <v>0.19</v>
      </c>
      <c r="W83" s="219" t="str">
        <f t="shared" si="21"/>
        <v/>
      </c>
      <c r="X83" s="220" t="str">
        <f>IFERROR(SUMIF(#REF!,$A83,#REF!),"")</f>
        <v/>
      </c>
      <c r="Y83" s="227" t="e">
        <f t="shared" si="22"/>
        <v>#VALUE!</v>
      </c>
      <c r="Z83" s="228" t="s">
        <v>432</v>
      </c>
      <c r="AA83" s="228"/>
      <c r="AB83" s="229" t="e">
        <f t="shared" si="23"/>
        <v>#VALUE!</v>
      </c>
    </row>
    <row r="84" customFormat="1" customHeight="1" spans="1:28">
      <c r="A84" s="182"/>
      <c r="B84" s="182"/>
      <c r="C84" s="183" t="s">
        <v>361</v>
      </c>
      <c r="D84" s="184" t="s">
        <v>98</v>
      </c>
      <c r="E84" s="184" t="s">
        <v>346</v>
      </c>
      <c r="F84" s="184" t="s">
        <v>347</v>
      </c>
      <c r="G84" s="184"/>
      <c r="H84" s="185">
        <v>45218</v>
      </c>
      <c r="I84" s="193" t="s">
        <v>367</v>
      </c>
      <c r="J84" s="194" t="s">
        <v>433</v>
      </c>
      <c r="K84" s="184">
        <v>2</v>
      </c>
      <c r="L84" s="195">
        <v>1150.44247787611</v>
      </c>
      <c r="M84" s="195">
        <v>1457.52212389381</v>
      </c>
      <c r="N84" s="195">
        <f t="shared" si="25"/>
        <v>307.0796460177</v>
      </c>
      <c r="O84" s="196">
        <f t="shared" si="15"/>
        <v>0.210686095931998</v>
      </c>
      <c r="P84" s="195">
        <f t="shared" si="24"/>
        <v>43.7256637168143</v>
      </c>
      <c r="Q84" s="214">
        <f t="shared" si="16"/>
        <v>87.4513274336286</v>
      </c>
      <c r="R84" s="215">
        <f t="shared" si="17"/>
        <v>0.03</v>
      </c>
      <c r="S84" s="216">
        <f t="shared" si="18"/>
        <v>0.180686095931998</v>
      </c>
      <c r="T84" s="217">
        <f t="shared" si="19"/>
        <v>0.22</v>
      </c>
      <c r="U84" s="218">
        <v>0.06</v>
      </c>
      <c r="V84" s="219">
        <f t="shared" si="20"/>
        <v>0.19</v>
      </c>
      <c r="W84" s="219">
        <f t="shared" si="21"/>
        <v>-0.00931390406800248</v>
      </c>
      <c r="X84" s="220" t="str">
        <f>IFERROR(SUMIF(#REF!,$A84,#REF!),"")</f>
        <v/>
      </c>
      <c r="Y84" s="227" t="e">
        <f t="shared" si="22"/>
        <v>#VALUE!</v>
      </c>
      <c r="Z84" s="228" t="s">
        <v>434</v>
      </c>
      <c r="AA84" s="228"/>
      <c r="AB84" s="229" t="e">
        <f t="shared" si="23"/>
        <v>#VALUE!</v>
      </c>
    </row>
    <row r="85" customFormat="1" customHeight="1" spans="1:28">
      <c r="A85" s="182"/>
      <c r="B85" s="182"/>
      <c r="C85" s="183" t="s">
        <v>361</v>
      </c>
      <c r="D85" s="184" t="s">
        <v>98</v>
      </c>
      <c r="E85" s="184" t="s">
        <v>346</v>
      </c>
      <c r="F85" s="184" t="s">
        <v>347</v>
      </c>
      <c r="G85" s="184"/>
      <c r="H85" s="185">
        <v>45219</v>
      </c>
      <c r="I85" s="193" t="s">
        <v>367</v>
      </c>
      <c r="J85" s="194" t="s">
        <v>378</v>
      </c>
      <c r="K85" s="184">
        <v>4</v>
      </c>
      <c r="L85" s="195">
        <v>5938.732</v>
      </c>
      <c r="M85" s="195">
        <v>7123.89380530974</v>
      </c>
      <c r="N85" s="195">
        <f t="shared" si="25"/>
        <v>1185.16180530974</v>
      </c>
      <c r="O85" s="196">
        <f t="shared" si="15"/>
        <v>0.166364327950311</v>
      </c>
      <c r="P85" s="195">
        <f t="shared" si="24"/>
        <v>213.716814159292</v>
      </c>
      <c r="Q85" s="214">
        <f t="shared" si="16"/>
        <v>854.867256637169</v>
      </c>
      <c r="R85" s="215">
        <f t="shared" si="17"/>
        <v>0.03</v>
      </c>
      <c r="S85" s="216">
        <f t="shared" si="18"/>
        <v>0.136364327950311</v>
      </c>
      <c r="T85" s="217">
        <f t="shared" si="19"/>
        <v>0.22</v>
      </c>
      <c r="U85" s="218">
        <v>0.06</v>
      </c>
      <c r="V85" s="219">
        <f t="shared" si="20"/>
        <v>0.19</v>
      </c>
      <c r="W85" s="219">
        <f t="shared" si="21"/>
        <v>-0.0536356720496888</v>
      </c>
      <c r="X85" s="220" t="str">
        <f>IFERROR(SUMIF(#REF!,$A85,#REF!),"")</f>
        <v/>
      </c>
      <c r="Y85" s="227" t="e">
        <f t="shared" si="22"/>
        <v>#VALUE!</v>
      </c>
      <c r="Z85" s="228" t="s">
        <v>435</v>
      </c>
      <c r="AA85" s="228"/>
      <c r="AB85" s="229" t="e">
        <f t="shared" si="23"/>
        <v>#VALUE!</v>
      </c>
    </row>
    <row r="86" customFormat="1" customHeight="1" spans="1:28">
      <c r="A86" s="182"/>
      <c r="B86" s="182"/>
      <c r="C86" s="183" t="s">
        <v>361</v>
      </c>
      <c r="D86" s="184" t="s">
        <v>98</v>
      </c>
      <c r="E86" s="184" t="s">
        <v>346</v>
      </c>
      <c r="F86" s="184" t="s">
        <v>347</v>
      </c>
      <c r="G86" s="184"/>
      <c r="H86" s="185">
        <v>45219</v>
      </c>
      <c r="I86" s="193" t="s">
        <v>362</v>
      </c>
      <c r="J86" s="194" t="s">
        <v>422</v>
      </c>
      <c r="K86" s="184">
        <v>1</v>
      </c>
      <c r="L86" s="195">
        <v>203.097345132743</v>
      </c>
      <c r="M86" s="195">
        <v>376.106194690266</v>
      </c>
      <c r="N86" s="195">
        <f t="shared" si="25"/>
        <v>173.008849557523</v>
      </c>
      <c r="O86" s="196">
        <f t="shared" si="15"/>
        <v>0.460000000000002</v>
      </c>
      <c r="P86" s="195">
        <f t="shared" si="24"/>
        <v>11.283185840708</v>
      </c>
      <c r="Q86" s="214">
        <f t="shared" si="16"/>
        <v>11.283185840708</v>
      </c>
      <c r="R86" s="215">
        <f t="shared" si="17"/>
        <v>0.03</v>
      </c>
      <c r="S86" s="216">
        <f t="shared" si="18"/>
        <v>0.430000000000002</v>
      </c>
      <c r="T86" s="217">
        <f t="shared" si="19"/>
        <v>0.22</v>
      </c>
      <c r="U86" s="218">
        <v>0.06</v>
      </c>
      <c r="V86" s="219">
        <f t="shared" si="20"/>
        <v>0.19</v>
      </c>
      <c r="W86" s="219" t="str">
        <f t="shared" si="21"/>
        <v/>
      </c>
      <c r="X86" s="220" t="str">
        <f>IFERROR(SUMIF(#REF!,$A86,#REF!),"")</f>
        <v/>
      </c>
      <c r="Y86" s="227" t="e">
        <f t="shared" si="22"/>
        <v>#VALUE!</v>
      </c>
      <c r="Z86" s="228" t="s">
        <v>435</v>
      </c>
      <c r="AA86" s="228"/>
      <c r="AB86" s="229" t="e">
        <f t="shared" si="23"/>
        <v>#VALUE!</v>
      </c>
    </row>
    <row r="87" customFormat="1" customHeight="1" spans="1:28">
      <c r="A87" s="182"/>
      <c r="B87" s="182"/>
      <c r="C87" s="183" t="s">
        <v>361</v>
      </c>
      <c r="D87" s="184" t="s">
        <v>98</v>
      </c>
      <c r="E87" s="184" t="s">
        <v>346</v>
      </c>
      <c r="F87" s="184" t="s">
        <v>347</v>
      </c>
      <c r="G87" s="184"/>
      <c r="H87" s="185">
        <v>45223</v>
      </c>
      <c r="I87" s="193" t="s">
        <v>362</v>
      </c>
      <c r="J87" s="194" t="s">
        <v>436</v>
      </c>
      <c r="K87" s="184">
        <v>2</v>
      </c>
      <c r="L87" s="195">
        <v>884.955752212389</v>
      </c>
      <c r="M87" s="195">
        <v>1044.24778761062</v>
      </c>
      <c r="N87" s="195">
        <f t="shared" si="25"/>
        <v>159.292035398231</v>
      </c>
      <c r="O87" s="196">
        <f t="shared" si="15"/>
        <v>0.152542372881357</v>
      </c>
      <c r="P87" s="195">
        <f t="shared" si="24"/>
        <v>31.3274336283186</v>
      </c>
      <c r="Q87" s="214">
        <f t="shared" si="16"/>
        <v>62.6548672566372</v>
      </c>
      <c r="R87" s="215">
        <f t="shared" si="17"/>
        <v>0.03</v>
      </c>
      <c r="S87" s="216">
        <f t="shared" si="18"/>
        <v>0.122542372881357</v>
      </c>
      <c r="T87" s="217">
        <f t="shared" si="19"/>
        <v>0.22</v>
      </c>
      <c r="U87" s="218">
        <v>0.06</v>
      </c>
      <c r="V87" s="219">
        <f t="shared" si="20"/>
        <v>0.19</v>
      </c>
      <c r="W87" s="219">
        <f t="shared" si="21"/>
        <v>-0.0674576271186433</v>
      </c>
      <c r="X87" s="220" t="str">
        <f>IFERROR(SUMIF(#REF!,$A87,#REF!),"")</f>
        <v/>
      </c>
      <c r="Y87" s="227" t="e">
        <f t="shared" si="22"/>
        <v>#VALUE!</v>
      </c>
      <c r="Z87" s="228" t="s">
        <v>437</v>
      </c>
      <c r="AA87" s="228"/>
      <c r="AB87" s="229" t="e">
        <f t="shared" si="23"/>
        <v>#VALUE!</v>
      </c>
    </row>
    <row r="88" customFormat="1" customHeight="1" spans="1:28">
      <c r="A88" s="182"/>
      <c r="B88" s="182"/>
      <c r="C88" s="183" t="s">
        <v>361</v>
      </c>
      <c r="D88" s="184" t="s">
        <v>98</v>
      </c>
      <c r="E88" s="184" t="s">
        <v>346</v>
      </c>
      <c r="F88" s="184" t="s">
        <v>347</v>
      </c>
      <c r="G88" s="184"/>
      <c r="H88" s="185">
        <v>45224</v>
      </c>
      <c r="I88" s="193" t="s">
        <v>367</v>
      </c>
      <c r="J88" s="194" t="s">
        <v>378</v>
      </c>
      <c r="K88" s="184">
        <v>3</v>
      </c>
      <c r="L88" s="195">
        <v>5938.732</v>
      </c>
      <c r="M88" s="195">
        <v>7123.89380530974</v>
      </c>
      <c r="N88" s="195">
        <f t="shared" si="25"/>
        <v>1185.16180530974</v>
      </c>
      <c r="O88" s="196">
        <f t="shared" si="15"/>
        <v>0.166364327950311</v>
      </c>
      <c r="P88" s="195">
        <f t="shared" si="24"/>
        <v>213.716814159292</v>
      </c>
      <c r="Q88" s="214">
        <f t="shared" si="16"/>
        <v>641.150442477877</v>
      </c>
      <c r="R88" s="215">
        <f t="shared" si="17"/>
        <v>0.03</v>
      </c>
      <c r="S88" s="216">
        <f t="shared" si="18"/>
        <v>0.136364327950311</v>
      </c>
      <c r="T88" s="217">
        <f t="shared" si="19"/>
        <v>0.22</v>
      </c>
      <c r="U88" s="218">
        <v>0.06</v>
      </c>
      <c r="V88" s="219">
        <f t="shared" si="20"/>
        <v>0.19</v>
      </c>
      <c r="W88" s="219">
        <f t="shared" si="21"/>
        <v>-0.0536356720496888</v>
      </c>
      <c r="X88" s="220" t="str">
        <f>IFERROR(SUMIF(#REF!,$A88,#REF!),"")</f>
        <v/>
      </c>
      <c r="Y88" s="227" t="e">
        <f t="shared" si="22"/>
        <v>#VALUE!</v>
      </c>
      <c r="Z88" s="228" t="s">
        <v>438</v>
      </c>
      <c r="AA88" s="228"/>
      <c r="AB88" s="229" t="e">
        <f t="shared" si="23"/>
        <v>#VALUE!</v>
      </c>
    </row>
    <row r="89" customFormat="1" customHeight="1" spans="1:28">
      <c r="A89" s="182"/>
      <c r="B89" s="182"/>
      <c r="C89" s="183" t="s">
        <v>361</v>
      </c>
      <c r="D89" s="184" t="s">
        <v>98</v>
      </c>
      <c r="E89" s="184" t="s">
        <v>346</v>
      </c>
      <c r="F89" s="184" t="s">
        <v>347</v>
      </c>
      <c r="G89" s="184"/>
      <c r="H89" s="185">
        <v>45231</v>
      </c>
      <c r="I89" s="193" t="s">
        <v>367</v>
      </c>
      <c r="J89" s="194" t="s">
        <v>399</v>
      </c>
      <c r="K89" s="184">
        <v>1</v>
      </c>
      <c r="L89" s="195">
        <v>1150.44247787611</v>
      </c>
      <c r="M89" s="195">
        <v>5132.74336283186</v>
      </c>
      <c r="N89" s="195">
        <f t="shared" si="25"/>
        <v>3982.30088495575</v>
      </c>
      <c r="O89" s="196">
        <f t="shared" si="15"/>
        <v>0.775862068965517</v>
      </c>
      <c r="P89" s="195">
        <f t="shared" si="24"/>
        <v>153.982300884956</v>
      </c>
      <c r="Q89" s="214">
        <f t="shared" si="16"/>
        <v>153.982300884956</v>
      </c>
      <c r="R89" s="215">
        <f t="shared" si="17"/>
        <v>0.03</v>
      </c>
      <c r="S89" s="216">
        <f t="shared" si="18"/>
        <v>0.745862068965517</v>
      </c>
      <c r="T89" s="217">
        <f t="shared" si="19"/>
        <v>0.22</v>
      </c>
      <c r="U89" s="218">
        <v>0.06</v>
      </c>
      <c r="V89" s="219">
        <f t="shared" si="20"/>
        <v>0.19</v>
      </c>
      <c r="W89" s="219" t="str">
        <f t="shared" si="21"/>
        <v/>
      </c>
      <c r="X89" s="220" t="str">
        <f>IFERROR(SUMIF(#REF!,$A89,#REF!),"")</f>
        <v/>
      </c>
      <c r="Y89" s="227" t="e">
        <f t="shared" si="22"/>
        <v>#VALUE!</v>
      </c>
      <c r="Z89" s="228" t="s">
        <v>439</v>
      </c>
      <c r="AA89" s="228"/>
      <c r="AB89" s="229" t="e">
        <f t="shared" si="23"/>
        <v>#VALUE!</v>
      </c>
    </row>
    <row r="90" customFormat="1" customHeight="1" spans="1:28">
      <c r="A90" s="182"/>
      <c r="B90" s="182"/>
      <c r="C90" s="183" t="s">
        <v>361</v>
      </c>
      <c r="D90" s="184" t="s">
        <v>98</v>
      </c>
      <c r="E90" s="184" t="s">
        <v>346</v>
      </c>
      <c r="F90" s="184" t="s">
        <v>347</v>
      </c>
      <c r="G90" s="184"/>
      <c r="H90" s="185">
        <v>45231</v>
      </c>
      <c r="I90" s="7" t="s">
        <v>440</v>
      </c>
      <c r="J90" s="194" t="s">
        <v>441</v>
      </c>
      <c r="K90" s="184">
        <v>28</v>
      </c>
      <c r="L90" s="195">
        <f>1430/1.13</f>
        <v>1265.48672566372</v>
      </c>
      <c r="M90" s="195">
        <v>2427.75221238938</v>
      </c>
      <c r="N90" s="195">
        <f t="shared" si="25"/>
        <v>1162.26548672566</v>
      </c>
      <c r="O90" s="196">
        <f t="shared" si="15"/>
        <v>0.478741397410475</v>
      </c>
      <c r="P90" s="195">
        <f t="shared" si="24"/>
        <v>72.8325663716814</v>
      </c>
      <c r="Q90" s="214">
        <f t="shared" si="16"/>
        <v>2039.31185840708</v>
      </c>
      <c r="R90" s="215">
        <f t="shared" si="17"/>
        <v>0.03</v>
      </c>
      <c r="S90" s="216">
        <f t="shared" si="18"/>
        <v>0.448741397410475</v>
      </c>
      <c r="T90" s="217">
        <f t="shared" si="19"/>
        <v>0.22</v>
      </c>
      <c r="U90" s="218">
        <v>0.06</v>
      </c>
      <c r="V90" s="219">
        <f t="shared" si="20"/>
        <v>0.19</v>
      </c>
      <c r="W90" s="219" t="str">
        <f t="shared" si="21"/>
        <v/>
      </c>
      <c r="X90" s="220" t="str">
        <f>IFERROR(SUMIF(#REF!,$A90,#REF!),"")</f>
        <v/>
      </c>
      <c r="Y90" s="227" t="e">
        <f t="shared" si="22"/>
        <v>#VALUE!</v>
      </c>
      <c r="Z90" s="228" t="s">
        <v>439</v>
      </c>
      <c r="AA90" s="228"/>
      <c r="AB90" s="229" t="e">
        <f t="shared" si="23"/>
        <v>#VALUE!</v>
      </c>
    </row>
    <row r="91" customFormat="1" customHeight="1" spans="1:28">
      <c r="A91" s="182"/>
      <c r="B91" s="182"/>
      <c r="C91" s="183" t="s">
        <v>361</v>
      </c>
      <c r="D91" s="184" t="s">
        <v>98</v>
      </c>
      <c r="E91" s="184" t="s">
        <v>346</v>
      </c>
      <c r="F91" s="184" t="s">
        <v>347</v>
      </c>
      <c r="G91" s="184"/>
      <c r="H91" s="185">
        <v>45237</v>
      </c>
      <c r="I91" s="193" t="s">
        <v>367</v>
      </c>
      <c r="J91" s="194" t="s">
        <v>389</v>
      </c>
      <c r="K91" s="184">
        <v>16</v>
      </c>
      <c r="L91" s="195">
        <v>318.58407079646</v>
      </c>
      <c r="M91" s="195">
        <v>393.805309734513</v>
      </c>
      <c r="N91" s="195">
        <f t="shared" si="25"/>
        <v>75.221238938053</v>
      </c>
      <c r="O91" s="196">
        <f t="shared" si="15"/>
        <v>0.191011235955056</v>
      </c>
      <c r="P91" s="195">
        <f t="shared" si="24"/>
        <v>11.8141592920354</v>
      </c>
      <c r="Q91" s="214">
        <f t="shared" si="16"/>
        <v>189.026548672566</v>
      </c>
      <c r="R91" s="215">
        <f t="shared" si="17"/>
        <v>0.03</v>
      </c>
      <c r="S91" s="216">
        <f t="shared" si="18"/>
        <v>0.161011235955056</v>
      </c>
      <c r="T91" s="217">
        <f t="shared" si="19"/>
        <v>0.22</v>
      </c>
      <c r="U91" s="218">
        <v>0.06</v>
      </c>
      <c r="V91" s="219">
        <f t="shared" si="20"/>
        <v>0.19</v>
      </c>
      <c r="W91" s="219">
        <f t="shared" si="21"/>
        <v>-0.028988764044944</v>
      </c>
      <c r="X91" s="220" t="str">
        <f>IFERROR(SUMIF(#REF!,$A91,#REF!),"")</f>
        <v/>
      </c>
      <c r="Y91" s="227" t="e">
        <f t="shared" si="22"/>
        <v>#VALUE!</v>
      </c>
      <c r="Z91" s="228" t="s">
        <v>442</v>
      </c>
      <c r="AA91" s="228"/>
      <c r="AB91" s="229" t="e">
        <f t="shared" si="23"/>
        <v>#VALUE!</v>
      </c>
    </row>
    <row r="92" customFormat="1" customHeight="1" spans="1:28">
      <c r="A92" s="182"/>
      <c r="B92" s="182"/>
      <c r="C92" s="183" t="s">
        <v>361</v>
      </c>
      <c r="D92" s="184" t="s">
        <v>98</v>
      </c>
      <c r="E92" s="184" t="s">
        <v>346</v>
      </c>
      <c r="F92" s="184" t="s">
        <v>347</v>
      </c>
      <c r="G92" s="184"/>
      <c r="H92" s="185">
        <v>45238</v>
      </c>
      <c r="I92" s="193" t="s">
        <v>367</v>
      </c>
      <c r="J92" s="194" t="s">
        <v>378</v>
      </c>
      <c r="K92" s="184">
        <v>2</v>
      </c>
      <c r="L92" s="195">
        <v>5938.732</v>
      </c>
      <c r="M92" s="195">
        <v>7123.89380530974</v>
      </c>
      <c r="N92" s="195">
        <f t="shared" si="25"/>
        <v>1185.16180530974</v>
      </c>
      <c r="O92" s="196">
        <f t="shared" si="15"/>
        <v>0.166364327950311</v>
      </c>
      <c r="P92" s="195">
        <f t="shared" si="24"/>
        <v>213.716814159292</v>
      </c>
      <c r="Q92" s="214">
        <f t="shared" si="16"/>
        <v>427.433628318584</v>
      </c>
      <c r="R92" s="215">
        <f t="shared" si="17"/>
        <v>0.03</v>
      </c>
      <c r="S92" s="216">
        <f t="shared" si="18"/>
        <v>0.136364327950311</v>
      </c>
      <c r="T92" s="217">
        <f t="shared" si="19"/>
        <v>0.22</v>
      </c>
      <c r="U92" s="218">
        <v>0.06</v>
      </c>
      <c r="V92" s="219">
        <f t="shared" si="20"/>
        <v>0.19</v>
      </c>
      <c r="W92" s="219">
        <f t="shared" si="21"/>
        <v>-0.0536356720496888</v>
      </c>
      <c r="X92" s="220" t="str">
        <f>IFERROR(SUMIF(#REF!,$A92,#REF!),"")</f>
        <v/>
      </c>
      <c r="Y92" s="227" t="e">
        <f t="shared" si="22"/>
        <v>#VALUE!</v>
      </c>
      <c r="Z92" s="228" t="s">
        <v>443</v>
      </c>
      <c r="AA92" s="228"/>
      <c r="AB92" s="229" t="e">
        <f t="shared" si="23"/>
        <v>#VALUE!</v>
      </c>
    </row>
    <row r="93" customFormat="1" customHeight="1" spans="1:28">
      <c r="A93" s="182"/>
      <c r="B93" s="182"/>
      <c r="C93" s="183" t="s">
        <v>361</v>
      </c>
      <c r="D93" s="184" t="s">
        <v>98</v>
      </c>
      <c r="E93" s="184" t="s">
        <v>346</v>
      </c>
      <c r="F93" s="184" t="s">
        <v>347</v>
      </c>
      <c r="G93" s="184"/>
      <c r="H93" s="185">
        <v>45243</v>
      </c>
      <c r="I93" s="193" t="s">
        <v>362</v>
      </c>
      <c r="J93" s="194" t="s">
        <v>422</v>
      </c>
      <c r="K93" s="184">
        <v>1</v>
      </c>
      <c r="L93" s="195">
        <v>203.097345132743</v>
      </c>
      <c r="M93" s="195">
        <v>376.106194690266</v>
      </c>
      <c r="N93" s="195">
        <f t="shared" si="25"/>
        <v>173.008849557523</v>
      </c>
      <c r="O93" s="196">
        <f t="shared" si="15"/>
        <v>0.460000000000002</v>
      </c>
      <c r="P93" s="195">
        <f t="shared" si="24"/>
        <v>11.283185840708</v>
      </c>
      <c r="Q93" s="214">
        <f t="shared" si="16"/>
        <v>11.283185840708</v>
      </c>
      <c r="R93" s="215">
        <f t="shared" si="17"/>
        <v>0.03</v>
      </c>
      <c r="S93" s="216">
        <f t="shared" si="18"/>
        <v>0.430000000000002</v>
      </c>
      <c r="T93" s="217">
        <f t="shared" si="19"/>
        <v>0.22</v>
      </c>
      <c r="U93" s="218">
        <v>0.06</v>
      </c>
      <c r="V93" s="219">
        <f t="shared" si="20"/>
        <v>0.19</v>
      </c>
      <c r="W93" s="219" t="str">
        <f t="shared" si="21"/>
        <v/>
      </c>
      <c r="X93" s="220" t="str">
        <f>IFERROR(SUMIF(#REF!,$A93,#REF!),"")</f>
        <v/>
      </c>
      <c r="Y93" s="227" t="e">
        <f t="shared" si="22"/>
        <v>#VALUE!</v>
      </c>
      <c r="Z93" s="228" t="s">
        <v>444</v>
      </c>
      <c r="AA93" s="228"/>
      <c r="AB93" s="229" t="e">
        <f t="shared" si="23"/>
        <v>#VALUE!</v>
      </c>
    </row>
    <row r="94" customFormat="1" customHeight="1" spans="1:28">
      <c r="A94" s="182"/>
      <c r="B94" s="182"/>
      <c r="C94" s="183" t="s">
        <v>361</v>
      </c>
      <c r="D94" s="184" t="s">
        <v>98</v>
      </c>
      <c r="E94" s="184" t="s">
        <v>346</v>
      </c>
      <c r="F94" s="184" t="s">
        <v>347</v>
      </c>
      <c r="G94" s="184"/>
      <c r="H94" s="185">
        <v>45244</v>
      </c>
      <c r="I94" s="193" t="s">
        <v>367</v>
      </c>
      <c r="J94" s="194" t="s">
        <v>445</v>
      </c>
      <c r="K94" s="184">
        <v>22</v>
      </c>
      <c r="L94" s="195">
        <f>630/1.13</f>
        <v>557.522123893805</v>
      </c>
      <c r="M94" s="195">
        <v>730.088495575221</v>
      </c>
      <c r="N94" s="195">
        <f t="shared" si="25"/>
        <v>172.566371681416</v>
      </c>
      <c r="O94" s="196">
        <f t="shared" si="15"/>
        <v>0.236363636363636</v>
      </c>
      <c r="P94" s="195">
        <f t="shared" si="24"/>
        <v>21.9026548672566</v>
      </c>
      <c r="Q94" s="214">
        <f t="shared" si="16"/>
        <v>481.858407079646</v>
      </c>
      <c r="R94" s="215">
        <f t="shared" si="17"/>
        <v>0.03</v>
      </c>
      <c r="S94" s="216">
        <f t="shared" si="18"/>
        <v>0.206363636363636</v>
      </c>
      <c r="T94" s="217">
        <f t="shared" si="19"/>
        <v>0.22</v>
      </c>
      <c r="U94" s="218">
        <v>0.06</v>
      </c>
      <c r="V94" s="219">
        <f t="shared" si="20"/>
        <v>0.19</v>
      </c>
      <c r="W94" s="219" t="str">
        <f t="shared" si="21"/>
        <v/>
      </c>
      <c r="X94" s="220" t="str">
        <f>IFERROR(SUMIF(#REF!,$A94,#REF!),"")</f>
        <v/>
      </c>
      <c r="Y94" s="227" t="e">
        <f t="shared" si="22"/>
        <v>#VALUE!</v>
      </c>
      <c r="Z94" s="228" t="s">
        <v>446</v>
      </c>
      <c r="AA94" s="228"/>
      <c r="AB94" s="229" t="e">
        <f t="shared" si="23"/>
        <v>#VALUE!</v>
      </c>
    </row>
    <row r="95" customFormat="1" customHeight="1" spans="1:28">
      <c r="A95" s="182"/>
      <c r="B95" s="182"/>
      <c r="C95" s="183" t="s">
        <v>361</v>
      </c>
      <c r="D95" s="184" t="s">
        <v>98</v>
      </c>
      <c r="E95" s="184" t="s">
        <v>346</v>
      </c>
      <c r="F95" s="184" t="s">
        <v>347</v>
      </c>
      <c r="G95" s="184"/>
      <c r="H95" s="185">
        <v>45244</v>
      </c>
      <c r="I95" s="193" t="s">
        <v>367</v>
      </c>
      <c r="J95" s="194" t="s">
        <v>447</v>
      </c>
      <c r="K95" s="184">
        <v>56</v>
      </c>
      <c r="L95" s="195">
        <f>425/1.13</f>
        <v>376.106194690266</v>
      </c>
      <c r="M95" s="195">
        <v>367.256637168142</v>
      </c>
      <c r="N95" s="197">
        <f t="shared" si="25"/>
        <v>-8.84955752212352</v>
      </c>
      <c r="O95" s="196">
        <f t="shared" si="15"/>
        <v>-0.0240963855421676</v>
      </c>
      <c r="P95" s="195">
        <f t="shared" si="24"/>
        <v>11.0176991150443</v>
      </c>
      <c r="Q95" s="214">
        <f t="shared" si="16"/>
        <v>616.991150442479</v>
      </c>
      <c r="R95" s="215">
        <f t="shared" si="17"/>
        <v>0.03</v>
      </c>
      <c r="S95" s="216">
        <f t="shared" si="18"/>
        <v>-0.0540963855421676</v>
      </c>
      <c r="T95" s="217">
        <f t="shared" si="19"/>
        <v>0.22</v>
      </c>
      <c r="U95" s="218">
        <v>0.06</v>
      </c>
      <c r="V95" s="219">
        <f t="shared" si="20"/>
        <v>0.19</v>
      </c>
      <c r="W95" s="219">
        <f t="shared" si="21"/>
        <v>-0.244096385542168</v>
      </c>
      <c r="X95" s="220" t="str">
        <f>IFERROR(SUMIF(#REF!,$A95,#REF!),"")</f>
        <v/>
      </c>
      <c r="Y95" s="227" t="e">
        <f t="shared" si="22"/>
        <v>#VALUE!</v>
      </c>
      <c r="Z95" s="228" t="s">
        <v>446</v>
      </c>
      <c r="AA95" s="228"/>
      <c r="AB95" s="229" t="e">
        <f t="shared" si="23"/>
        <v>#VALUE!</v>
      </c>
    </row>
    <row r="96" customFormat="1" customHeight="1" spans="1:28">
      <c r="A96" s="182"/>
      <c r="B96" s="182"/>
      <c r="C96" s="183" t="s">
        <v>361</v>
      </c>
      <c r="D96" s="184" t="s">
        <v>98</v>
      </c>
      <c r="E96" s="184" t="s">
        <v>346</v>
      </c>
      <c r="F96" s="184" t="s">
        <v>347</v>
      </c>
      <c r="G96" s="184"/>
      <c r="H96" s="185">
        <v>45247</v>
      </c>
      <c r="I96" s="193" t="s">
        <v>362</v>
      </c>
      <c r="J96" s="194" t="s">
        <v>448</v>
      </c>
      <c r="K96" s="184">
        <v>3</v>
      </c>
      <c r="L96" s="195">
        <f>600/1.13</f>
        <v>530.973451327434</v>
      </c>
      <c r="M96" s="195">
        <v>650.442477876106</v>
      </c>
      <c r="N96" s="195">
        <f t="shared" si="25"/>
        <v>119.469026548672</v>
      </c>
      <c r="O96" s="196">
        <f t="shared" si="15"/>
        <v>0.183673469387755</v>
      </c>
      <c r="P96" s="195">
        <f t="shared" si="24"/>
        <v>19.5132743362832</v>
      </c>
      <c r="Q96" s="214">
        <f t="shared" si="16"/>
        <v>58.5398230088495</v>
      </c>
      <c r="R96" s="215">
        <f t="shared" si="17"/>
        <v>0.03</v>
      </c>
      <c r="S96" s="216">
        <f t="shared" si="18"/>
        <v>0.153673469387755</v>
      </c>
      <c r="T96" s="217">
        <f t="shared" si="19"/>
        <v>0.22</v>
      </c>
      <c r="U96" s="218">
        <v>0.06</v>
      </c>
      <c r="V96" s="219">
        <f t="shared" si="20"/>
        <v>0.19</v>
      </c>
      <c r="W96" s="219">
        <f t="shared" si="21"/>
        <v>-0.0363265306122452</v>
      </c>
      <c r="X96" s="220" t="str">
        <f>IFERROR(SUMIF(#REF!,$A96,#REF!),"")</f>
        <v/>
      </c>
      <c r="Y96" s="227" t="e">
        <f t="shared" si="22"/>
        <v>#VALUE!</v>
      </c>
      <c r="Z96" s="228" t="s">
        <v>449</v>
      </c>
      <c r="AA96" s="228"/>
      <c r="AB96" s="229" t="e">
        <f t="shared" si="23"/>
        <v>#VALUE!</v>
      </c>
    </row>
    <row r="97" customFormat="1" customHeight="1" spans="1:28">
      <c r="A97" s="182"/>
      <c r="B97" s="182"/>
      <c r="C97" s="183" t="s">
        <v>361</v>
      </c>
      <c r="D97" s="184" t="s">
        <v>98</v>
      </c>
      <c r="E97" s="184" t="s">
        <v>346</v>
      </c>
      <c r="F97" s="184" t="s">
        <v>347</v>
      </c>
      <c r="G97" s="184"/>
      <c r="H97" s="185">
        <v>45247</v>
      </c>
      <c r="I97" s="7" t="s">
        <v>440</v>
      </c>
      <c r="J97" s="194" t="s">
        <v>450</v>
      </c>
      <c r="K97" s="184">
        <v>1</v>
      </c>
      <c r="L97" s="195">
        <f>5400/1.13</f>
        <v>4778.7610619469</v>
      </c>
      <c r="M97" s="195">
        <v>5827.43362831858</v>
      </c>
      <c r="N97" s="195">
        <f t="shared" si="25"/>
        <v>1048.67256637168</v>
      </c>
      <c r="O97" s="196">
        <f t="shared" si="15"/>
        <v>0.179954441913439</v>
      </c>
      <c r="P97" s="195">
        <f t="shared" si="24"/>
        <v>174.823008849557</v>
      </c>
      <c r="Q97" s="214">
        <f t="shared" si="16"/>
        <v>174.823008849557</v>
      </c>
      <c r="R97" s="215">
        <f t="shared" si="17"/>
        <v>0.03</v>
      </c>
      <c r="S97" s="216">
        <f t="shared" si="18"/>
        <v>0.149954441913439</v>
      </c>
      <c r="T97" s="217">
        <f t="shared" si="19"/>
        <v>0.22</v>
      </c>
      <c r="U97" s="218">
        <v>0.06</v>
      </c>
      <c r="V97" s="219">
        <f t="shared" si="20"/>
        <v>0.19</v>
      </c>
      <c r="W97" s="219">
        <f t="shared" si="21"/>
        <v>-0.040045558086561</v>
      </c>
      <c r="X97" s="220" t="str">
        <f>IFERROR(SUMIF(#REF!,$A97,#REF!),"")</f>
        <v/>
      </c>
      <c r="Y97" s="227" t="e">
        <f t="shared" si="22"/>
        <v>#VALUE!</v>
      </c>
      <c r="Z97" s="228" t="s">
        <v>449</v>
      </c>
      <c r="AA97" s="228"/>
      <c r="AB97" s="229" t="e">
        <f t="shared" si="23"/>
        <v>#VALUE!</v>
      </c>
    </row>
    <row r="98" customFormat="1" customHeight="1" spans="1:28">
      <c r="A98" s="182"/>
      <c r="B98" s="182"/>
      <c r="C98" s="183" t="s">
        <v>361</v>
      </c>
      <c r="D98" s="184" t="s">
        <v>98</v>
      </c>
      <c r="E98" s="184" t="s">
        <v>346</v>
      </c>
      <c r="F98" s="184" t="s">
        <v>347</v>
      </c>
      <c r="G98" s="184"/>
      <c r="H98" s="185">
        <v>45247</v>
      </c>
      <c r="I98" s="193" t="s">
        <v>367</v>
      </c>
      <c r="J98" s="194" t="s">
        <v>451</v>
      </c>
      <c r="K98" s="184">
        <v>1</v>
      </c>
      <c r="L98" s="195">
        <v>6630.13274336283</v>
      </c>
      <c r="M98" s="195">
        <v>7460.17699115044</v>
      </c>
      <c r="N98" s="195">
        <f t="shared" si="25"/>
        <v>830.044247787609</v>
      </c>
      <c r="O98" s="196">
        <f t="shared" si="15"/>
        <v>0.111263345195729</v>
      </c>
      <c r="P98" s="195">
        <f t="shared" si="24"/>
        <v>223.805309734513</v>
      </c>
      <c r="Q98" s="214">
        <f t="shared" si="16"/>
        <v>223.805309734513</v>
      </c>
      <c r="R98" s="215">
        <f t="shared" si="17"/>
        <v>0.03</v>
      </c>
      <c r="S98" s="216">
        <f t="shared" si="18"/>
        <v>0.0812633451957294</v>
      </c>
      <c r="T98" s="217">
        <f t="shared" si="19"/>
        <v>0.22</v>
      </c>
      <c r="U98" s="218">
        <v>0.06</v>
      </c>
      <c r="V98" s="219">
        <f t="shared" si="20"/>
        <v>0.19</v>
      </c>
      <c r="W98" s="219">
        <f t="shared" si="21"/>
        <v>-0.108736654804271</v>
      </c>
      <c r="X98" s="220" t="str">
        <f>IFERROR(SUMIF(#REF!,$A98,#REF!),"")</f>
        <v/>
      </c>
      <c r="Y98" s="227" t="e">
        <f t="shared" si="22"/>
        <v>#VALUE!</v>
      </c>
      <c r="Z98" s="228" t="s">
        <v>452</v>
      </c>
      <c r="AA98" s="228"/>
      <c r="AB98" s="229" t="e">
        <f t="shared" si="23"/>
        <v>#VALUE!</v>
      </c>
    </row>
    <row r="99" customFormat="1" customHeight="1" spans="1:28">
      <c r="A99" s="182"/>
      <c r="B99" s="182"/>
      <c r="C99" s="183" t="s">
        <v>361</v>
      </c>
      <c r="D99" s="184" t="s">
        <v>98</v>
      </c>
      <c r="E99" s="184" t="s">
        <v>346</v>
      </c>
      <c r="F99" s="184" t="s">
        <v>347</v>
      </c>
      <c r="G99" s="184"/>
      <c r="H99" s="185">
        <v>45250</v>
      </c>
      <c r="I99" s="193" t="s">
        <v>367</v>
      </c>
      <c r="J99" s="194" t="s">
        <v>453</v>
      </c>
      <c r="K99" s="184">
        <v>1</v>
      </c>
      <c r="L99" s="195">
        <v>6095.66371681416</v>
      </c>
      <c r="M99" s="195">
        <v>9097.34513274336</v>
      </c>
      <c r="N99" s="195">
        <f t="shared" si="25"/>
        <v>3001.6814159292</v>
      </c>
      <c r="O99" s="196">
        <f t="shared" si="15"/>
        <v>0.329951361867704</v>
      </c>
      <c r="P99" s="195">
        <f t="shared" si="24"/>
        <v>272.920353982301</v>
      </c>
      <c r="Q99" s="214">
        <f t="shared" si="16"/>
        <v>272.920353982301</v>
      </c>
      <c r="R99" s="215">
        <f t="shared" si="17"/>
        <v>0.03</v>
      </c>
      <c r="S99" s="216">
        <f t="shared" si="18"/>
        <v>0.299951361867704</v>
      </c>
      <c r="T99" s="217">
        <f t="shared" si="19"/>
        <v>0.22</v>
      </c>
      <c r="U99" s="218">
        <v>0.06</v>
      </c>
      <c r="V99" s="219">
        <f t="shared" si="20"/>
        <v>0.19</v>
      </c>
      <c r="W99" s="219" t="str">
        <f t="shared" si="21"/>
        <v/>
      </c>
      <c r="X99" s="220" t="str">
        <f>IFERROR(SUMIF(#REF!,$A99,#REF!),"")</f>
        <v/>
      </c>
      <c r="Y99" s="227" t="e">
        <f t="shared" si="22"/>
        <v>#VALUE!</v>
      </c>
      <c r="Z99" s="228" t="s">
        <v>454</v>
      </c>
      <c r="AA99" s="228"/>
      <c r="AB99" s="229" t="e">
        <f t="shared" si="23"/>
        <v>#VALUE!</v>
      </c>
    </row>
    <row r="100" customFormat="1" customHeight="1" spans="1:28">
      <c r="A100" s="182"/>
      <c r="B100" s="182"/>
      <c r="C100" s="183" t="s">
        <v>361</v>
      </c>
      <c r="D100" s="184" t="s">
        <v>98</v>
      </c>
      <c r="E100" s="184" t="s">
        <v>346</v>
      </c>
      <c r="F100" s="184" t="s">
        <v>347</v>
      </c>
      <c r="G100" s="184"/>
      <c r="H100" s="185">
        <v>45253</v>
      </c>
      <c r="I100" s="193" t="s">
        <v>362</v>
      </c>
      <c r="J100" s="194" t="s">
        <v>455</v>
      </c>
      <c r="K100" s="184">
        <v>3</v>
      </c>
      <c r="L100" s="195">
        <f>245/1.13</f>
        <v>216.814159292035</v>
      </c>
      <c r="M100" s="195">
        <v>393.805309734513</v>
      </c>
      <c r="N100" s="195">
        <f t="shared" si="25"/>
        <v>176.991150442478</v>
      </c>
      <c r="O100" s="196">
        <f t="shared" si="15"/>
        <v>0.449438202247191</v>
      </c>
      <c r="P100" s="195">
        <f t="shared" si="24"/>
        <v>11.8141592920354</v>
      </c>
      <c r="Q100" s="214">
        <f t="shared" si="16"/>
        <v>35.4424778761062</v>
      </c>
      <c r="R100" s="215">
        <f t="shared" si="17"/>
        <v>0.03</v>
      </c>
      <c r="S100" s="216">
        <f t="shared" si="18"/>
        <v>0.419438202247191</v>
      </c>
      <c r="T100" s="217">
        <f t="shared" si="19"/>
        <v>0.22</v>
      </c>
      <c r="U100" s="218">
        <v>0.06</v>
      </c>
      <c r="V100" s="219">
        <f t="shared" si="20"/>
        <v>0.19</v>
      </c>
      <c r="W100" s="219" t="str">
        <f t="shared" si="21"/>
        <v/>
      </c>
      <c r="X100" s="220" t="str">
        <f>IFERROR(SUMIF(#REF!,$A100,#REF!),"")</f>
        <v/>
      </c>
      <c r="Y100" s="227" t="e">
        <f t="shared" si="22"/>
        <v>#VALUE!</v>
      </c>
      <c r="Z100" s="228" t="s">
        <v>456</v>
      </c>
      <c r="AA100" s="228"/>
      <c r="AB100" s="229" t="e">
        <f t="shared" si="23"/>
        <v>#VALUE!</v>
      </c>
    </row>
    <row r="101" customFormat="1" customHeight="1" spans="1:28">
      <c r="A101" s="182"/>
      <c r="B101" s="182"/>
      <c r="C101" s="183" t="s">
        <v>361</v>
      </c>
      <c r="D101" s="184" t="s">
        <v>98</v>
      </c>
      <c r="E101" s="184" t="s">
        <v>346</v>
      </c>
      <c r="F101" s="184" t="s">
        <v>347</v>
      </c>
      <c r="G101" s="184"/>
      <c r="H101" s="185">
        <v>45253</v>
      </c>
      <c r="I101" s="193" t="s">
        <v>367</v>
      </c>
      <c r="J101" s="194" t="s">
        <v>457</v>
      </c>
      <c r="K101" s="184">
        <v>3</v>
      </c>
      <c r="L101" s="195">
        <f>590/1.13</f>
        <v>522.12389380531</v>
      </c>
      <c r="M101" s="195">
        <v>663.716814159292</v>
      </c>
      <c r="N101" s="195">
        <f t="shared" si="25"/>
        <v>141.592920353982</v>
      </c>
      <c r="O101" s="196">
        <f t="shared" si="15"/>
        <v>0.213333333333333</v>
      </c>
      <c r="P101" s="195">
        <f t="shared" ref="P101:P142" si="26">M101*0.03</f>
        <v>19.9115044247788</v>
      </c>
      <c r="Q101" s="214">
        <f t="shared" si="16"/>
        <v>59.7345132743363</v>
      </c>
      <c r="R101" s="215">
        <f t="shared" si="17"/>
        <v>0.03</v>
      </c>
      <c r="S101" s="216">
        <f t="shared" si="18"/>
        <v>0.183333333333333</v>
      </c>
      <c r="T101" s="217">
        <f t="shared" si="19"/>
        <v>0.22</v>
      </c>
      <c r="U101" s="218">
        <v>0.06</v>
      </c>
      <c r="V101" s="219">
        <f t="shared" si="20"/>
        <v>0.19</v>
      </c>
      <c r="W101" s="219">
        <f t="shared" si="21"/>
        <v>-0.00666666666666679</v>
      </c>
      <c r="X101" s="220" t="str">
        <f>IFERROR(SUMIF(#REF!,$A101,#REF!),"")</f>
        <v/>
      </c>
      <c r="Y101" s="227" t="e">
        <f t="shared" si="22"/>
        <v>#VALUE!</v>
      </c>
      <c r="Z101" s="228" t="s">
        <v>456</v>
      </c>
      <c r="AA101" s="228"/>
      <c r="AB101" s="229" t="e">
        <f t="shared" si="23"/>
        <v>#VALUE!</v>
      </c>
    </row>
    <row r="102" customFormat="1" customHeight="1" spans="1:28">
      <c r="A102" s="182"/>
      <c r="B102" s="182"/>
      <c r="C102" s="183" t="s">
        <v>361</v>
      </c>
      <c r="D102" s="184" t="s">
        <v>98</v>
      </c>
      <c r="E102" s="184" t="s">
        <v>346</v>
      </c>
      <c r="F102" s="184" t="s">
        <v>347</v>
      </c>
      <c r="G102" s="184"/>
      <c r="H102" s="185">
        <v>45253</v>
      </c>
      <c r="I102" s="193" t="s">
        <v>367</v>
      </c>
      <c r="J102" s="194" t="s">
        <v>457</v>
      </c>
      <c r="K102" s="184">
        <v>4</v>
      </c>
      <c r="L102" s="195">
        <f>590/1.13</f>
        <v>522.12389380531</v>
      </c>
      <c r="M102" s="195">
        <v>663.716814159292</v>
      </c>
      <c r="N102" s="195">
        <f t="shared" si="25"/>
        <v>141.592920353982</v>
      </c>
      <c r="O102" s="196">
        <f t="shared" si="15"/>
        <v>0.213333333333333</v>
      </c>
      <c r="P102" s="195">
        <f t="shared" si="26"/>
        <v>19.9115044247788</v>
      </c>
      <c r="Q102" s="214">
        <f t="shared" si="16"/>
        <v>79.646017699115</v>
      </c>
      <c r="R102" s="215">
        <f t="shared" si="17"/>
        <v>0.03</v>
      </c>
      <c r="S102" s="216">
        <f t="shared" si="18"/>
        <v>0.183333333333333</v>
      </c>
      <c r="T102" s="217">
        <f t="shared" si="19"/>
        <v>0.22</v>
      </c>
      <c r="U102" s="218">
        <v>0.06</v>
      </c>
      <c r="V102" s="219">
        <f t="shared" si="20"/>
        <v>0.19</v>
      </c>
      <c r="W102" s="219">
        <f t="shared" si="21"/>
        <v>-0.00666666666666679</v>
      </c>
      <c r="X102" s="220" t="str">
        <f>IFERROR(SUMIF(#REF!,$A102,#REF!),"")</f>
        <v/>
      </c>
      <c r="Y102" s="227" t="e">
        <f t="shared" si="22"/>
        <v>#VALUE!</v>
      </c>
      <c r="Z102" s="228" t="s">
        <v>458</v>
      </c>
      <c r="AA102" s="228"/>
      <c r="AB102" s="229" t="e">
        <f t="shared" si="23"/>
        <v>#VALUE!</v>
      </c>
    </row>
    <row r="103" customFormat="1" customHeight="1" spans="1:28">
      <c r="A103" s="182"/>
      <c r="B103" s="182"/>
      <c r="C103" s="183" t="s">
        <v>361</v>
      </c>
      <c r="D103" s="184" t="s">
        <v>98</v>
      </c>
      <c r="E103" s="184" t="s">
        <v>346</v>
      </c>
      <c r="F103" s="184" t="s">
        <v>459</v>
      </c>
      <c r="G103" s="184"/>
      <c r="H103" s="185">
        <v>45253</v>
      </c>
      <c r="I103" s="193" t="s">
        <v>460</v>
      </c>
      <c r="J103" s="194" t="s">
        <v>461</v>
      </c>
      <c r="K103" s="184">
        <v>96</v>
      </c>
      <c r="L103" s="184">
        <v>128.95</v>
      </c>
      <c r="M103" s="184">
        <v>139.823008849558</v>
      </c>
      <c r="N103" s="195">
        <f t="shared" si="25"/>
        <v>10.873008849558</v>
      </c>
      <c r="O103" s="196">
        <f t="shared" si="15"/>
        <v>0.0777626582278513</v>
      </c>
      <c r="P103" s="195">
        <f t="shared" si="26"/>
        <v>4.19469026548674</v>
      </c>
      <c r="Q103" s="214">
        <f t="shared" si="16"/>
        <v>402.690265486727</v>
      </c>
      <c r="R103" s="215">
        <f t="shared" si="17"/>
        <v>0.03</v>
      </c>
      <c r="S103" s="216">
        <f t="shared" si="18"/>
        <v>0.0477626582278513</v>
      </c>
      <c r="T103" s="217">
        <f t="shared" si="19"/>
        <v>0.22</v>
      </c>
      <c r="U103" s="218">
        <v>0.06</v>
      </c>
      <c r="V103" s="219">
        <f t="shared" si="20"/>
        <v>0.19</v>
      </c>
      <c r="W103" s="219">
        <f t="shared" si="21"/>
        <v>-0.142237341772149</v>
      </c>
      <c r="X103" s="220" t="str">
        <f>IFERROR(SUMIF(#REF!,$A103,#REF!),"")</f>
        <v/>
      </c>
      <c r="Y103" s="227" t="e">
        <f t="shared" si="22"/>
        <v>#VALUE!</v>
      </c>
      <c r="Z103" s="228" t="s">
        <v>462</v>
      </c>
      <c r="AA103" s="228"/>
      <c r="AB103" s="229" t="e">
        <f t="shared" si="23"/>
        <v>#VALUE!</v>
      </c>
    </row>
    <row r="104" customFormat="1" customHeight="1" spans="1:28">
      <c r="A104" s="182"/>
      <c r="B104" s="182"/>
      <c r="C104" s="183" t="s">
        <v>361</v>
      </c>
      <c r="D104" s="184" t="s">
        <v>98</v>
      </c>
      <c r="E104" s="184" t="s">
        <v>346</v>
      </c>
      <c r="F104" s="184" t="s">
        <v>459</v>
      </c>
      <c r="G104" s="184"/>
      <c r="H104" s="185">
        <v>45253</v>
      </c>
      <c r="I104" s="193" t="s">
        <v>460</v>
      </c>
      <c r="J104" s="194" t="s">
        <v>463</v>
      </c>
      <c r="K104" s="184">
        <v>64</v>
      </c>
      <c r="L104" s="184">
        <v>1001.27</v>
      </c>
      <c r="M104" s="184">
        <v>1959.29203539823</v>
      </c>
      <c r="N104" s="195">
        <f t="shared" si="25"/>
        <v>958.02203539823</v>
      </c>
      <c r="O104" s="196">
        <f t="shared" si="15"/>
        <v>0.488963369467028</v>
      </c>
      <c r="P104" s="195">
        <f t="shared" si="26"/>
        <v>58.7787610619469</v>
      </c>
      <c r="Q104" s="214">
        <f t="shared" si="16"/>
        <v>3761.8407079646</v>
      </c>
      <c r="R104" s="215">
        <f t="shared" si="17"/>
        <v>0.03</v>
      </c>
      <c r="S104" s="216">
        <f t="shared" si="18"/>
        <v>0.458963369467028</v>
      </c>
      <c r="T104" s="217">
        <f t="shared" si="19"/>
        <v>0.22</v>
      </c>
      <c r="U104" s="218">
        <v>0.06</v>
      </c>
      <c r="V104" s="219">
        <f t="shared" si="20"/>
        <v>0.19</v>
      </c>
      <c r="W104" s="219" t="str">
        <f t="shared" si="21"/>
        <v/>
      </c>
      <c r="X104" s="220" t="str">
        <f>IFERROR(SUMIF(#REF!,$A104,#REF!),"")</f>
        <v/>
      </c>
      <c r="Y104" s="227" t="e">
        <f t="shared" si="22"/>
        <v>#VALUE!</v>
      </c>
      <c r="Z104" s="228" t="s">
        <v>462</v>
      </c>
      <c r="AA104" s="228"/>
      <c r="AB104" s="229" t="e">
        <f t="shared" si="23"/>
        <v>#VALUE!</v>
      </c>
    </row>
    <row r="105" customFormat="1" customHeight="1" spans="1:28">
      <c r="A105" s="182"/>
      <c r="B105" s="182"/>
      <c r="C105" s="183" t="s">
        <v>361</v>
      </c>
      <c r="D105" s="184" t="s">
        <v>98</v>
      </c>
      <c r="E105" s="184" t="s">
        <v>346</v>
      </c>
      <c r="F105" s="184" t="s">
        <v>459</v>
      </c>
      <c r="G105" s="184"/>
      <c r="H105" s="185">
        <v>45253</v>
      </c>
      <c r="I105" s="193" t="s">
        <v>460</v>
      </c>
      <c r="J105" s="194" t="s">
        <v>464</v>
      </c>
      <c r="K105" s="184">
        <v>16</v>
      </c>
      <c r="L105" s="184">
        <v>6652.34</v>
      </c>
      <c r="M105" s="184">
        <v>8420.35398230089</v>
      </c>
      <c r="N105" s="195">
        <f t="shared" si="25"/>
        <v>1768.01398230089</v>
      </c>
      <c r="O105" s="196">
        <f t="shared" si="15"/>
        <v>0.20996908039937</v>
      </c>
      <c r="P105" s="195">
        <f t="shared" si="26"/>
        <v>252.610619469027</v>
      </c>
      <c r="Q105" s="214">
        <f t="shared" si="16"/>
        <v>4041.76991150443</v>
      </c>
      <c r="R105" s="215">
        <f t="shared" si="17"/>
        <v>0.03</v>
      </c>
      <c r="S105" s="216">
        <f t="shared" si="18"/>
        <v>0.17996908039937</v>
      </c>
      <c r="T105" s="217">
        <f t="shared" si="19"/>
        <v>0.22</v>
      </c>
      <c r="U105" s="218">
        <v>0.06</v>
      </c>
      <c r="V105" s="219">
        <f t="shared" si="20"/>
        <v>0.19</v>
      </c>
      <c r="W105" s="219">
        <f t="shared" si="21"/>
        <v>-0.0100309196006301</v>
      </c>
      <c r="X105" s="220" t="str">
        <f>IFERROR(SUMIF(#REF!,$A105,#REF!),"")</f>
        <v/>
      </c>
      <c r="Y105" s="227" t="e">
        <f t="shared" si="22"/>
        <v>#VALUE!</v>
      </c>
      <c r="Z105" s="228" t="s">
        <v>462</v>
      </c>
      <c r="AA105" s="228"/>
      <c r="AB105" s="229" t="e">
        <f t="shared" si="23"/>
        <v>#VALUE!</v>
      </c>
    </row>
    <row r="106" customFormat="1" customHeight="1" spans="1:28">
      <c r="A106" s="182"/>
      <c r="B106" s="182"/>
      <c r="C106" s="183" t="s">
        <v>361</v>
      </c>
      <c r="D106" s="184" t="s">
        <v>98</v>
      </c>
      <c r="E106" s="184" t="s">
        <v>346</v>
      </c>
      <c r="F106" s="184" t="s">
        <v>459</v>
      </c>
      <c r="G106" s="184"/>
      <c r="H106" s="185">
        <v>45253</v>
      </c>
      <c r="I106" s="193" t="s">
        <v>460</v>
      </c>
      <c r="J106" s="194" t="s">
        <v>465</v>
      </c>
      <c r="K106" s="184">
        <v>16</v>
      </c>
      <c r="L106" s="184">
        <v>728.19</v>
      </c>
      <c r="M106" s="184">
        <v>1127.43362831858</v>
      </c>
      <c r="N106" s="195">
        <f t="shared" si="25"/>
        <v>399.24362831858</v>
      </c>
      <c r="O106" s="196">
        <f t="shared" si="15"/>
        <v>0.354117189952902</v>
      </c>
      <c r="P106" s="195">
        <f t="shared" si="26"/>
        <v>33.8230088495574</v>
      </c>
      <c r="Q106" s="214">
        <f t="shared" si="16"/>
        <v>541.168141592918</v>
      </c>
      <c r="R106" s="215">
        <f t="shared" si="17"/>
        <v>0.03</v>
      </c>
      <c r="S106" s="216">
        <f t="shared" si="18"/>
        <v>0.324117189952902</v>
      </c>
      <c r="T106" s="217">
        <f t="shared" si="19"/>
        <v>0.22</v>
      </c>
      <c r="U106" s="218">
        <v>0.06</v>
      </c>
      <c r="V106" s="219">
        <f t="shared" si="20"/>
        <v>0.19</v>
      </c>
      <c r="W106" s="219" t="str">
        <f t="shared" si="21"/>
        <v/>
      </c>
      <c r="X106" s="220" t="str">
        <f>IFERROR(SUMIF(#REF!,$A106,#REF!),"")</f>
        <v/>
      </c>
      <c r="Y106" s="227" t="e">
        <f t="shared" si="22"/>
        <v>#VALUE!</v>
      </c>
      <c r="Z106" s="228" t="s">
        <v>462</v>
      </c>
      <c r="AA106" s="228"/>
      <c r="AB106" s="229" t="e">
        <f t="shared" si="23"/>
        <v>#VALUE!</v>
      </c>
    </row>
    <row r="107" customFormat="1" customHeight="1" spans="1:28">
      <c r="A107" s="182"/>
      <c r="B107" s="182"/>
      <c r="C107" s="183" t="s">
        <v>361</v>
      </c>
      <c r="D107" s="184" t="s">
        <v>98</v>
      </c>
      <c r="E107" s="184" t="s">
        <v>346</v>
      </c>
      <c r="F107" s="184" t="s">
        <v>347</v>
      </c>
      <c r="G107" s="184"/>
      <c r="H107" s="185">
        <v>45253</v>
      </c>
      <c r="I107" s="193" t="s">
        <v>367</v>
      </c>
      <c r="J107" s="194" t="s">
        <v>389</v>
      </c>
      <c r="K107" s="184">
        <v>3</v>
      </c>
      <c r="L107" s="195">
        <v>318.58407079646</v>
      </c>
      <c r="M107" s="195">
        <v>393.805309734513</v>
      </c>
      <c r="N107" s="195">
        <f t="shared" si="25"/>
        <v>75.221238938053</v>
      </c>
      <c r="O107" s="196">
        <f t="shared" si="15"/>
        <v>0.191011235955056</v>
      </c>
      <c r="P107" s="195">
        <f t="shared" si="26"/>
        <v>11.8141592920354</v>
      </c>
      <c r="Q107" s="214">
        <f t="shared" si="16"/>
        <v>35.4424778761062</v>
      </c>
      <c r="R107" s="215">
        <f t="shared" si="17"/>
        <v>0.03</v>
      </c>
      <c r="S107" s="216">
        <f t="shared" si="18"/>
        <v>0.161011235955056</v>
      </c>
      <c r="T107" s="217">
        <f t="shared" si="19"/>
        <v>0.22</v>
      </c>
      <c r="U107" s="218">
        <v>0.06</v>
      </c>
      <c r="V107" s="219">
        <f t="shared" si="20"/>
        <v>0.19</v>
      </c>
      <c r="W107" s="219">
        <f t="shared" si="21"/>
        <v>-0.028988764044944</v>
      </c>
      <c r="X107" s="220" t="str">
        <f>IFERROR(SUMIF(#REF!,$A107,#REF!),"")</f>
        <v/>
      </c>
      <c r="Y107" s="227" t="e">
        <f t="shared" si="22"/>
        <v>#VALUE!</v>
      </c>
      <c r="Z107" s="228" t="s">
        <v>466</v>
      </c>
      <c r="AA107" s="228"/>
      <c r="AB107" s="229" t="e">
        <f t="shared" si="23"/>
        <v>#VALUE!</v>
      </c>
    </row>
    <row r="108" customFormat="1" customHeight="1" spans="1:28">
      <c r="A108" s="182"/>
      <c r="B108" s="182"/>
      <c r="C108" s="183" t="s">
        <v>361</v>
      </c>
      <c r="D108" s="184" t="s">
        <v>98</v>
      </c>
      <c r="E108" s="184" t="s">
        <v>346</v>
      </c>
      <c r="F108" s="184" t="s">
        <v>347</v>
      </c>
      <c r="G108" s="184"/>
      <c r="H108" s="185">
        <v>45253</v>
      </c>
      <c r="I108" s="193" t="s">
        <v>367</v>
      </c>
      <c r="J108" s="194" t="s">
        <v>445</v>
      </c>
      <c r="K108" s="184">
        <v>18</v>
      </c>
      <c r="L108" s="195">
        <f>630/1.13</f>
        <v>557.522123893805</v>
      </c>
      <c r="M108" s="195">
        <v>730.088495575221</v>
      </c>
      <c r="N108" s="195">
        <f t="shared" si="25"/>
        <v>172.566371681416</v>
      </c>
      <c r="O108" s="196">
        <f t="shared" si="15"/>
        <v>0.236363636363636</v>
      </c>
      <c r="P108" s="195">
        <f t="shared" si="26"/>
        <v>21.9026548672566</v>
      </c>
      <c r="Q108" s="214">
        <f t="shared" si="16"/>
        <v>394.247787610619</v>
      </c>
      <c r="R108" s="215">
        <f t="shared" si="17"/>
        <v>0.03</v>
      </c>
      <c r="S108" s="216">
        <f t="shared" si="18"/>
        <v>0.206363636363636</v>
      </c>
      <c r="T108" s="217">
        <f t="shared" si="19"/>
        <v>0.22</v>
      </c>
      <c r="U108" s="218">
        <v>0.06</v>
      </c>
      <c r="V108" s="219">
        <f t="shared" si="20"/>
        <v>0.19</v>
      </c>
      <c r="W108" s="219" t="str">
        <f t="shared" si="21"/>
        <v/>
      </c>
      <c r="X108" s="220" t="str">
        <f>IFERROR(SUMIF(#REF!,$A108,#REF!),"")</f>
        <v/>
      </c>
      <c r="Y108" s="227" t="e">
        <f t="shared" si="22"/>
        <v>#VALUE!</v>
      </c>
      <c r="Z108" s="228" t="s">
        <v>466</v>
      </c>
      <c r="AA108" s="228"/>
      <c r="AB108" s="229" t="e">
        <f t="shared" si="23"/>
        <v>#VALUE!</v>
      </c>
    </row>
    <row r="109" customFormat="1" customHeight="1" spans="1:28">
      <c r="A109" s="182"/>
      <c r="B109" s="182"/>
      <c r="C109" s="183" t="s">
        <v>361</v>
      </c>
      <c r="D109" s="184" t="s">
        <v>98</v>
      </c>
      <c r="E109" s="184" t="s">
        <v>346</v>
      </c>
      <c r="F109" s="184" t="s">
        <v>347</v>
      </c>
      <c r="G109" s="184"/>
      <c r="H109" s="185">
        <v>45257</v>
      </c>
      <c r="I109" s="193" t="s">
        <v>367</v>
      </c>
      <c r="J109" s="194" t="s">
        <v>457</v>
      </c>
      <c r="K109" s="184">
        <v>1</v>
      </c>
      <c r="L109" s="195">
        <f>590/1.13</f>
        <v>522.12389380531</v>
      </c>
      <c r="M109" s="195">
        <v>663.716814159292</v>
      </c>
      <c r="N109" s="195">
        <f t="shared" ref="N109:N142" si="27">M109-L109</f>
        <v>141.592920353982</v>
      </c>
      <c r="O109" s="196">
        <f t="shared" si="15"/>
        <v>0.213333333333333</v>
      </c>
      <c r="P109" s="195">
        <f t="shared" si="26"/>
        <v>19.9115044247788</v>
      </c>
      <c r="Q109" s="214">
        <f t="shared" si="16"/>
        <v>19.9115044247788</v>
      </c>
      <c r="R109" s="215">
        <f t="shared" si="17"/>
        <v>0.03</v>
      </c>
      <c r="S109" s="216">
        <f t="shared" si="18"/>
        <v>0.183333333333333</v>
      </c>
      <c r="T109" s="217">
        <f t="shared" si="19"/>
        <v>0.22</v>
      </c>
      <c r="U109" s="218">
        <v>0.06</v>
      </c>
      <c r="V109" s="219">
        <f t="shared" si="20"/>
        <v>0.19</v>
      </c>
      <c r="W109" s="219">
        <f t="shared" si="21"/>
        <v>-0.00666666666666679</v>
      </c>
      <c r="X109" s="220" t="str">
        <f>IFERROR(SUMIF(#REF!,$A109,#REF!),"")</f>
        <v/>
      </c>
      <c r="Y109" s="227" t="e">
        <f t="shared" si="22"/>
        <v>#VALUE!</v>
      </c>
      <c r="Z109" s="228" t="s">
        <v>467</v>
      </c>
      <c r="AA109" s="228"/>
      <c r="AB109" s="229" t="e">
        <f t="shared" si="23"/>
        <v>#VALUE!</v>
      </c>
    </row>
    <row r="110" customFormat="1" customHeight="1" spans="1:28">
      <c r="A110" s="182"/>
      <c r="B110" s="182"/>
      <c r="C110" s="183" t="s">
        <v>361</v>
      </c>
      <c r="D110" s="184" t="s">
        <v>98</v>
      </c>
      <c r="E110" s="184" t="s">
        <v>346</v>
      </c>
      <c r="F110" s="184" t="s">
        <v>347</v>
      </c>
      <c r="G110" s="184"/>
      <c r="H110" s="185">
        <v>45257</v>
      </c>
      <c r="I110" s="193" t="s">
        <v>367</v>
      </c>
      <c r="J110" s="194" t="s">
        <v>457</v>
      </c>
      <c r="K110" s="184">
        <v>2</v>
      </c>
      <c r="L110" s="195">
        <f>590/1.13</f>
        <v>522.12389380531</v>
      </c>
      <c r="M110" s="195">
        <v>663.716814159292</v>
      </c>
      <c r="N110" s="195">
        <f t="shared" si="27"/>
        <v>141.592920353982</v>
      </c>
      <c r="O110" s="196">
        <f t="shared" si="15"/>
        <v>0.213333333333333</v>
      </c>
      <c r="P110" s="195">
        <f t="shared" si="26"/>
        <v>19.9115044247788</v>
      </c>
      <c r="Q110" s="214">
        <f t="shared" si="16"/>
        <v>39.8230088495575</v>
      </c>
      <c r="R110" s="215">
        <f t="shared" si="17"/>
        <v>0.03</v>
      </c>
      <c r="S110" s="216">
        <f t="shared" si="18"/>
        <v>0.183333333333333</v>
      </c>
      <c r="T110" s="217">
        <f t="shared" si="19"/>
        <v>0.22</v>
      </c>
      <c r="U110" s="218">
        <v>0.06</v>
      </c>
      <c r="V110" s="219">
        <f t="shared" si="20"/>
        <v>0.19</v>
      </c>
      <c r="W110" s="219">
        <f t="shared" si="21"/>
        <v>-0.00666666666666679</v>
      </c>
      <c r="X110" s="220" t="str">
        <f>IFERROR(SUMIF(#REF!,$A110,#REF!),"")</f>
        <v/>
      </c>
      <c r="Y110" s="227" t="e">
        <f t="shared" si="22"/>
        <v>#VALUE!</v>
      </c>
      <c r="Z110" s="228" t="s">
        <v>468</v>
      </c>
      <c r="AA110" s="228"/>
      <c r="AB110" s="229" t="e">
        <f t="shared" si="23"/>
        <v>#VALUE!</v>
      </c>
    </row>
    <row r="111" customFormat="1" customHeight="1" spans="1:28">
      <c r="A111" s="182"/>
      <c r="B111" s="182"/>
      <c r="C111" s="183" t="s">
        <v>361</v>
      </c>
      <c r="D111" s="184" t="s">
        <v>98</v>
      </c>
      <c r="E111" s="184" t="s">
        <v>346</v>
      </c>
      <c r="F111" s="184" t="s">
        <v>347</v>
      </c>
      <c r="G111" s="184"/>
      <c r="H111" s="185">
        <v>45257</v>
      </c>
      <c r="I111" s="193" t="s">
        <v>367</v>
      </c>
      <c r="J111" s="194" t="s">
        <v>378</v>
      </c>
      <c r="K111" s="184">
        <v>1</v>
      </c>
      <c r="L111" s="195">
        <v>5938.732</v>
      </c>
      <c r="M111" s="195">
        <v>7123.89380530974</v>
      </c>
      <c r="N111" s="195">
        <f t="shared" si="27"/>
        <v>1185.16180530974</v>
      </c>
      <c r="O111" s="196">
        <f t="shared" si="15"/>
        <v>0.166364327950311</v>
      </c>
      <c r="P111" s="195">
        <f t="shared" si="26"/>
        <v>213.716814159292</v>
      </c>
      <c r="Q111" s="214">
        <f t="shared" si="16"/>
        <v>213.716814159292</v>
      </c>
      <c r="R111" s="215">
        <f t="shared" si="17"/>
        <v>0.03</v>
      </c>
      <c r="S111" s="216">
        <f t="shared" si="18"/>
        <v>0.136364327950311</v>
      </c>
      <c r="T111" s="217">
        <f t="shared" si="19"/>
        <v>0.22</v>
      </c>
      <c r="U111" s="218">
        <v>0.06</v>
      </c>
      <c r="V111" s="219">
        <f t="shared" si="20"/>
        <v>0.19</v>
      </c>
      <c r="W111" s="219">
        <f t="shared" si="21"/>
        <v>-0.0536356720496888</v>
      </c>
      <c r="X111" s="220" t="str">
        <f>IFERROR(SUMIF(#REF!,$A111,#REF!),"")</f>
        <v/>
      </c>
      <c r="Y111" s="227" t="e">
        <f t="shared" si="22"/>
        <v>#VALUE!</v>
      </c>
      <c r="Z111" s="228" t="s">
        <v>468</v>
      </c>
      <c r="AA111" s="228"/>
      <c r="AB111" s="229" t="e">
        <f t="shared" si="23"/>
        <v>#VALUE!</v>
      </c>
    </row>
    <row r="112" customFormat="1" customHeight="1" spans="1:28">
      <c r="A112" s="182"/>
      <c r="B112" s="182"/>
      <c r="C112" s="183" t="s">
        <v>361</v>
      </c>
      <c r="D112" s="184" t="s">
        <v>98</v>
      </c>
      <c r="E112" s="184" t="s">
        <v>346</v>
      </c>
      <c r="F112" s="184" t="s">
        <v>347</v>
      </c>
      <c r="G112" s="184"/>
      <c r="H112" s="185">
        <v>45260</v>
      </c>
      <c r="I112" s="193" t="s">
        <v>367</v>
      </c>
      <c r="J112" s="194" t="s">
        <v>424</v>
      </c>
      <c r="K112" s="184">
        <v>1</v>
      </c>
      <c r="L112" s="195">
        <v>6293.89380530973</v>
      </c>
      <c r="M112" s="195">
        <v>7318.58</v>
      </c>
      <c r="N112" s="197">
        <f t="shared" si="27"/>
        <v>1024.68619469027</v>
      </c>
      <c r="O112" s="196">
        <f t="shared" si="15"/>
        <v>0.140011613549387</v>
      </c>
      <c r="P112" s="195">
        <f t="shared" si="26"/>
        <v>219.5574</v>
      </c>
      <c r="Q112" s="214">
        <f t="shared" si="16"/>
        <v>219.5574</v>
      </c>
      <c r="R112" s="215">
        <f t="shared" si="17"/>
        <v>0.03</v>
      </c>
      <c r="S112" s="216">
        <f t="shared" si="18"/>
        <v>0.110011613549387</v>
      </c>
      <c r="T112" s="217">
        <f t="shared" si="19"/>
        <v>0.22</v>
      </c>
      <c r="U112" s="218">
        <v>0.06</v>
      </c>
      <c r="V112" s="219">
        <f t="shared" si="20"/>
        <v>0.19</v>
      </c>
      <c r="W112" s="219">
        <f t="shared" si="21"/>
        <v>-0.0799883864506134</v>
      </c>
      <c r="X112" s="220" t="str">
        <f>IFERROR(SUMIF(#REF!,$A112,#REF!),"")</f>
        <v/>
      </c>
      <c r="Y112" s="227" t="e">
        <f t="shared" si="22"/>
        <v>#VALUE!</v>
      </c>
      <c r="Z112" s="228" t="s">
        <v>469</v>
      </c>
      <c r="AA112" s="228"/>
      <c r="AB112" s="229" t="e">
        <f t="shared" si="23"/>
        <v>#VALUE!</v>
      </c>
    </row>
    <row r="113" customFormat="1" customHeight="1" spans="1:28">
      <c r="A113" s="182"/>
      <c r="B113" s="182"/>
      <c r="C113" s="183" t="s">
        <v>361</v>
      </c>
      <c r="D113" s="184" t="s">
        <v>98</v>
      </c>
      <c r="E113" s="184" t="s">
        <v>346</v>
      </c>
      <c r="F113" s="184" t="s">
        <v>347</v>
      </c>
      <c r="G113" s="184"/>
      <c r="H113" s="185">
        <v>45268</v>
      </c>
      <c r="I113" s="193" t="s">
        <v>367</v>
      </c>
      <c r="J113" s="194" t="s">
        <v>470</v>
      </c>
      <c r="K113" s="184">
        <v>8</v>
      </c>
      <c r="L113" s="195">
        <v>9033.62831858407</v>
      </c>
      <c r="M113" s="195">
        <v>10486.7256637168</v>
      </c>
      <c r="N113" s="195">
        <f t="shared" si="27"/>
        <v>1453.09734513273</v>
      </c>
      <c r="O113" s="196">
        <f t="shared" si="15"/>
        <v>0.138565400843881</v>
      </c>
      <c r="P113" s="195">
        <f t="shared" si="26"/>
        <v>314.601769911504</v>
      </c>
      <c r="Q113" s="214">
        <f t="shared" si="16"/>
        <v>2516.81415929203</v>
      </c>
      <c r="R113" s="215">
        <f t="shared" si="17"/>
        <v>0.03</v>
      </c>
      <c r="S113" s="216">
        <f t="shared" si="18"/>
        <v>0.108565400843881</v>
      </c>
      <c r="T113" s="217">
        <f t="shared" si="19"/>
        <v>0.22</v>
      </c>
      <c r="U113" s="218">
        <v>0.06</v>
      </c>
      <c r="V113" s="219">
        <f t="shared" si="20"/>
        <v>0.19</v>
      </c>
      <c r="W113" s="219">
        <f t="shared" si="21"/>
        <v>-0.0814345991561192</v>
      </c>
      <c r="X113" s="220" t="str">
        <f>IFERROR(SUMIF(#REF!,$A113,#REF!),"")</f>
        <v/>
      </c>
      <c r="Y113" s="227" t="e">
        <f t="shared" si="22"/>
        <v>#VALUE!</v>
      </c>
      <c r="Z113" s="228" t="s">
        <v>471</v>
      </c>
      <c r="AA113" s="228"/>
      <c r="AB113" s="229" t="e">
        <f t="shared" si="23"/>
        <v>#VALUE!</v>
      </c>
    </row>
    <row r="114" customFormat="1" customHeight="1" spans="1:28">
      <c r="A114" s="182"/>
      <c r="B114" s="182"/>
      <c r="C114" s="183" t="s">
        <v>361</v>
      </c>
      <c r="D114" s="184" t="s">
        <v>98</v>
      </c>
      <c r="E114" s="184" t="s">
        <v>346</v>
      </c>
      <c r="F114" s="184" t="s">
        <v>347</v>
      </c>
      <c r="G114" s="184"/>
      <c r="H114" s="185">
        <v>45272</v>
      </c>
      <c r="I114" s="193" t="s">
        <v>367</v>
      </c>
      <c r="J114" s="194" t="s">
        <v>472</v>
      </c>
      <c r="K114" s="184">
        <v>1</v>
      </c>
      <c r="L114" s="195">
        <v>4516.10619469027</v>
      </c>
      <c r="M114" s="195">
        <v>5176.99115044248</v>
      </c>
      <c r="N114" s="195">
        <f t="shared" si="27"/>
        <v>660.88495575221</v>
      </c>
      <c r="O114" s="196">
        <f t="shared" si="15"/>
        <v>0.127658119658119</v>
      </c>
      <c r="P114" s="195">
        <f t="shared" si="26"/>
        <v>155.309734513274</v>
      </c>
      <c r="Q114" s="214">
        <f t="shared" si="16"/>
        <v>155.309734513274</v>
      </c>
      <c r="R114" s="215">
        <f t="shared" si="17"/>
        <v>0.03</v>
      </c>
      <c r="S114" s="216">
        <f t="shared" si="18"/>
        <v>0.0976581196581191</v>
      </c>
      <c r="T114" s="217">
        <f t="shared" si="19"/>
        <v>0.22</v>
      </c>
      <c r="U114" s="218">
        <v>0.06</v>
      </c>
      <c r="V114" s="219">
        <f t="shared" si="20"/>
        <v>0.19</v>
      </c>
      <c r="W114" s="219">
        <f t="shared" si="21"/>
        <v>-0.0923418803418809</v>
      </c>
      <c r="X114" s="220" t="str">
        <f>IFERROR(SUMIF(#REF!,$A114,#REF!),"")</f>
        <v/>
      </c>
      <c r="Y114" s="227" t="e">
        <f t="shared" si="22"/>
        <v>#VALUE!</v>
      </c>
      <c r="Z114" s="228" t="s">
        <v>473</v>
      </c>
      <c r="AA114" s="228"/>
      <c r="AB114" s="229" t="e">
        <f t="shared" si="23"/>
        <v>#VALUE!</v>
      </c>
    </row>
    <row r="115" customFormat="1" customHeight="1" spans="1:28">
      <c r="A115" s="182"/>
      <c r="B115" s="182"/>
      <c r="C115" s="183" t="s">
        <v>361</v>
      </c>
      <c r="D115" s="184" t="s">
        <v>98</v>
      </c>
      <c r="E115" s="184" t="s">
        <v>346</v>
      </c>
      <c r="F115" s="184" t="s">
        <v>347</v>
      </c>
      <c r="G115" s="184"/>
      <c r="H115" s="185">
        <v>45275</v>
      </c>
      <c r="I115" s="193" t="s">
        <v>367</v>
      </c>
      <c r="J115" s="194" t="s">
        <v>474</v>
      </c>
      <c r="K115" s="184">
        <v>1</v>
      </c>
      <c r="L115" s="195">
        <v>5692.38938053097</v>
      </c>
      <c r="M115" s="195">
        <v>6371.6814159292</v>
      </c>
      <c r="N115" s="195">
        <f t="shared" si="27"/>
        <v>679.29203539823</v>
      </c>
      <c r="O115" s="196">
        <f t="shared" si="15"/>
        <v>0.106611111111111</v>
      </c>
      <c r="P115" s="195">
        <f t="shared" si="26"/>
        <v>191.150442477876</v>
      </c>
      <c r="Q115" s="214">
        <f t="shared" si="16"/>
        <v>191.150442477876</v>
      </c>
      <c r="R115" s="215">
        <f t="shared" si="17"/>
        <v>0.03</v>
      </c>
      <c r="S115" s="216">
        <f t="shared" si="18"/>
        <v>0.0766111111111111</v>
      </c>
      <c r="T115" s="217">
        <f t="shared" si="19"/>
        <v>0.22</v>
      </c>
      <c r="U115" s="218">
        <v>0.06</v>
      </c>
      <c r="V115" s="219">
        <f t="shared" si="20"/>
        <v>0.19</v>
      </c>
      <c r="W115" s="219">
        <f t="shared" si="21"/>
        <v>-0.113388888888889</v>
      </c>
      <c r="X115" s="220" t="str">
        <f>IFERROR(SUMIF(#REF!,$A115,#REF!),"")</f>
        <v/>
      </c>
      <c r="Y115" s="227" t="e">
        <f t="shared" si="22"/>
        <v>#VALUE!</v>
      </c>
      <c r="Z115" s="228" t="s">
        <v>475</v>
      </c>
      <c r="AA115" s="228"/>
      <c r="AB115" s="229" t="e">
        <f t="shared" si="23"/>
        <v>#VALUE!</v>
      </c>
    </row>
    <row r="116" customFormat="1" customHeight="1" spans="1:28">
      <c r="A116" s="182"/>
      <c r="B116" s="182"/>
      <c r="C116" s="183" t="s">
        <v>361</v>
      </c>
      <c r="D116" s="184" t="s">
        <v>98</v>
      </c>
      <c r="E116" s="184" t="s">
        <v>346</v>
      </c>
      <c r="F116" s="184" t="s">
        <v>347</v>
      </c>
      <c r="G116" s="184"/>
      <c r="H116" s="185">
        <v>45275</v>
      </c>
      <c r="I116" s="193" t="s">
        <v>367</v>
      </c>
      <c r="J116" s="194" t="s">
        <v>474</v>
      </c>
      <c r="K116" s="184">
        <v>18</v>
      </c>
      <c r="L116" s="195">
        <v>5692.38938053097</v>
      </c>
      <c r="M116" s="195">
        <v>6371.6814159292</v>
      </c>
      <c r="N116" s="195">
        <f t="shared" si="27"/>
        <v>679.29203539823</v>
      </c>
      <c r="O116" s="196">
        <f t="shared" si="15"/>
        <v>0.106611111111111</v>
      </c>
      <c r="P116" s="195">
        <f t="shared" si="26"/>
        <v>191.150442477876</v>
      </c>
      <c r="Q116" s="214">
        <f t="shared" si="16"/>
        <v>3440.70796460177</v>
      </c>
      <c r="R116" s="215">
        <f t="shared" si="17"/>
        <v>0.03</v>
      </c>
      <c r="S116" s="216">
        <f t="shared" si="18"/>
        <v>0.0766111111111111</v>
      </c>
      <c r="T116" s="217">
        <f t="shared" si="19"/>
        <v>0.22</v>
      </c>
      <c r="U116" s="218">
        <v>0.06</v>
      </c>
      <c r="V116" s="219">
        <f t="shared" si="20"/>
        <v>0.19</v>
      </c>
      <c r="W116" s="219">
        <f t="shared" si="21"/>
        <v>-0.113388888888889</v>
      </c>
      <c r="X116" s="220" t="str">
        <f>IFERROR(SUMIF(#REF!,$A116,#REF!),"")</f>
        <v/>
      </c>
      <c r="Y116" s="227" t="e">
        <f t="shared" si="22"/>
        <v>#VALUE!</v>
      </c>
      <c r="Z116" s="228" t="s">
        <v>475</v>
      </c>
      <c r="AA116" s="228"/>
      <c r="AB116" s="229" t="e">
        <f t="shared" si="23"/>
        <v>#VALUE!</v>
      </c>
    </row>
    <row r="117" customFormat="1" customHeight="1" spans="1:28">
      <c r="A117" s="182"/>
      <c r="B117" s="182"/>
      <c r="C117" s="183" t="s">
        <v>361</v>
      </c>
      <c r="D117" s="184" t="s">
        <v>98</v>
      </c>
      <c r="E117" s="184" t="s">
        <v>346</v>
      </c>
      <c r="F117" s="184" t="s">
        <v>347</v>
      </c>
      <c r="G117" s="184"/>
      <c r="H117" s="185">
        <v>45280</v>
      </c>
      <c r="I117" s="193" t="s">
        <v>367</v>
      </c>
      <c r="J117" s="194" t="s">
        <v>474</v>
      </c>
      <c r="K117" s="184">
        <v>2</v>
      </c>
      <c r="L117" s="195">
        <v>5692.38938053097</v>
      </c>
      <c r="M117" s="195">
        <v>6371.6814159292</v>
      </c>
      <c r="N117" s="195">
        <f t="shared" si="27"/>
        <v>679.29203539823</v>
      </c>
      <c r="O117" s="196">
        <f t="shared" si="15"/>
        <v>0.106611111111111</v>
      </c>
      <c r="P117" s="195">
        <f t="shared" si="26"/>
        <v>191.150442477876</v>
      </c>
      <c r="Q117" s="214">
        <f t="shared" si="16"/>
        <v>382.300884955752</v>
      </c>
      <c r="R117" s="215">
        <f t="shared" si="17"/>
        <v>0.03</v>
      </c>
      <c r="S117" s="216">
        <f t="shared" si="18"/>
        <v>0.0766111111111111</v>
      </c>
      <c r="T117" s="217">
        <f t="shared" si="19"/>
        <v>0.22</v>
      </c>
      <c r="U117" s="218">
        <v>0.06</v>
      </c>
      <c r="V117" s="219">
        <f t="shared" si="20"/>
        <v>0.19</v>
      </c>
      <c r="W117" s="219">
        <f t="shared" si="21"/>
        <v>-0.113388888888889</v>
      </c>
      <c r="X117" s="220" t="str">
        <f>IFERROR(SUMIF(#REF!,$A117,#REF!),"")</f>
        <v/>
      </c>
      <c r="Y117" s="227" t="e">
        <f t="shared" si="22"/>
        <v>#VALUE!</v>
      </c>
      <c r="Z117" s="228" t="s">
        <v>476</v>
      </c>
      <c r="AA117" s="228"/>
      <c r="AB117" s="229" t="e">
        <f t="shared" si="23"/>
        <v>#VALUE!</v>
      </c>
    </row>
    <row r="118" customFormat="1" customHeight="1" spans="1:28">
      <c r="A118" s="182"/>
      <c r="B118" s="182"/>
      <c r="C118" s="183" t="s">
        <v>361</v>
      </c>
      <c r="D118" s="184" t="s">
        <v>98</v>
      </c>
      <c r="E118" s="184" t="s">
        <v>346</v>
      </c>
      <c r="F118" s="184" t="s">
        <v>347</v>
      </c>
      <c r="G118" s="184"/>
      <c r="H118" s="185">
        <v>45282</v>
      </c>
      <c r="I118" s="193" t="s">
        <v>367</v>
      </c>
      <c r="J118" s="194" t="s">
        <v>474</v>
      </c>
      <c r="K118" s="184">
        <v>4</v>
      </c>
      <c r="L118" s="195">
        <v>5692.38938053097</v>
      </c>
      <c r="M118" s="195">
        <v>6371.6814159292</v>
      </c>
      <c r="N118" s="195">
        <f t="shared" si="27"/>
        <v>679.29203539823</v>
      </c>
      <c r="O118" s="196">
        <f t="shared" si="15"/>
        <v>0.106611111111111</v>
      </c>
      <c r="P118" s="195">
        <f t="shared" si="26"/>
        <v>191.150442477876</v>
      </c>
      <c r="Q118" s="214">
        <f t="shared" si="16"/>
        <v>764.601769911504</v>
      </c>
      <c r="R118" s="215">
        <f t="shared" si="17"/>
        <v>0.03</v>
      </c>
      <c r="S118" s="216">
        <f t="shared" si="18"/>
        <v>0.0766111111111111</v>
      </c>
      <c r="T118" s="217">
        <f t="shared" si="19"/>
        <v>0.22</v>
      </c>
      <c r="U118" s="218">
        <v>0.06</v>
      </c>
      <c r="V118" s="219">
        <f t="shared" si="20"/>
        <v>0.19</v>
      </c>
      <c r="W118" s="219">
        <f t="shared" si="21"/>
        <v>-0.113388888888889</v>
      </c>
      <c r="X118" s="220" t="str">
        <f>IFERROR(SUMIF(#REF!,$A118,#REF!),"")</f>
        <v/>
      </c>
      <c r="Y118" s="227" t="e">
        <f t="shared" si="22"/>
        <v>#VALUE!</v>
      </c>
      <c r="Z118" s="228" t="s">
        <v>477</v>
      </c>
      <c r="AA118" s="228"/>
      <c r="AB118" s="229" t="e">
        <f t="shared" si="23"/>
        <v>#VALUE!</v>
      </c>
    </row>
    <row r="119" customFormat="1" customHeight="1" spans="1:28">
      <c r="A119" s="182"/>
      <c r="B119" s="182"/>
      <c r="C119" s="183" t="s">
        <v>361</v>
      </c>
      <c r="D119" s="184" t="s">
        <v>98</v>
      </c>
      <c r="E119" s="184" t="s">
        <v>346</v>
      </c>
      <c r="F119" s="184" t="s">
        <v>347</v>
      </c>
      <c r="G119" s="184"/>
      <c r="H119" s="185">
        <v>45288</v>
      </c>
      <c r="I119" s="193" t="s">
        <v>367</v>
      </c>
      <c r="J119" s="194" t="s">
        <v>478</v>
      </c>
      <c r="K119" s="184">
        <v>1</v>
      </c>
      <c r="L119" s="195">
        <v>5440.79646017699</v>
      </c>
      <c r="M119" s="195">
        <v>6079.64601769912</v>
      </c>
      <c r="N119" s="195">
        <f t="shared" si="27"/>
        <v>638.84955752213</v>
      </c>
      <c r="O119" s="196">
        <f t="shared" si="15"/>
        <v>0.105080058224164</v>
      </c>
      <c r="P119" s="195">
        <f t="shared" si="26"/>
        <v>182.389380530974</v>
      </c>
      <c r="Q119" s="214">
        <f t="shared" si="16"/>
        <v>182.389380530974</v>
      </c>
      <c r="R119" s="215">
        <f t="shared" si="17"/>
        <v>0.03</v>
      </c>
      <c r="S119" s="216">
        <f t="shared" si="18"/>
        <v>0.075080058224164</v>
      </c>
      <c r="T119" s="217">
        <f t="shared" si="19"/>
        <v>0.22</v>
      </c>
      <c r="U119" s="218">
        <v>0.06</v>
      </c>
      <c r="V119" s="219">
        <f t="shared" ref="V119:V150" si="28">IF(T119-U119+R119&gt;0,T119-U119+R119,IF(T119-U119+R119=0,""))</f>
        <v>0.19</v>
      </c>
      <c r="W119" s="219">
        <f t="shared" si="21"/>
        <v>-0.114919941775836</v>
      </c>
      <c r="X119" s="220" t="str">
        <f>IFERROR(SUMIF(#REF!,$A119,#REF!),"")</f>
        <v/>
      </c>
      <c r="Y119" s="227" t="e">
        <f t="shared" si="22"/>
        <v>#VALUE!</v>
      </c>
      <c r="Z119" s="174" t="s">
        <v>479</v>
      </c>
      <c r="AA119" s="228"/>
      <c r="AB119" s="229" t="e">
        <f t="shared" si="23"/>
        <v>#VALUE!</v>
      </c>
    </row>
    <row r="120" customHeight="1" spans="3:26">
      <c r="C120" s="183" t="s">
        <v>361</v>
      </c>
      <c r="D120" s="184" t="s">
        <v>98</v>
      </c>
      <c r="E120" s="184" t="s">
        <v>346</v>
      </c>
      <c r="F120" s="184" t="s">
        <v>347</v>
      </c>
      <c r="G120" s="230"/>
      <c r="H120" s="231">
        <v>45655</v>
      </c>
      <c r="I120" s="193" t="s">
        <v>367</v>
      </c>
      <c r="J120" s="232" t="s">
        <v>445</v>
      </c>
      <c r="K120" s="233">
        <v>1</v>
      </c>
      <c r="L120" s="234">
        <v>557.52</v>
      </c>
      <c r="M120" s="235">
        <v>730.088495575221</v>
      </c>
      <c r="N120" s="195">
        <f t="shared" si="27"/>
        <v>172.568495575221</v>
      </c>
      <c r="O120" s="196">
        <f t="shared" ref="O120:O151" si="29">IF(AND($N120&lt;&gt;0,$M120&lt;&gt;0),$N120/$M120,"")</f>
        <v>0.236366545454545</v>
      </c>
      <c r="P120" s="195">
        <f t="shared" si="26"/>
        <v>21.9026548672566</v>
      </c>
      <c r="Q120" s="214">
        <f t="shared" ref="Q120:Q151" si="30">P120*K120</f>
        <v>21.9026548672566</v>
      </c>
      <c r="R120" s="215">
        <f t="shared" ref="R120:R151" si="31">IF(AND($P120&lt;&gt;0,$M120&lt;&gt;0),$P120/$M120,"")</f>
        <v>0.03</v>
      </c>
      <c r="S120" s="216">
        <f t="shared" ref="S120:S142" si="32">IF(AND(($N120*$K120-$Q120)&lt;&gt;0,($M120*$K120)&lt;&gt;0),($N120*$K120-$Q120)/($M120*$K120),"")</f>
        <v>0.206366545454545</v>
      </c>
      <c r="T120" s="217">
        <f t="shared" ref="T120:T151" si="33">IF($C120="深圳福达通",22%,IF($C120="康为",26%,IF($C120="新浪潮",26%,IF($C120="湖南飞英达",25%,IF($C120="志奋领",26%)))))</f>
        <v>0.22</v>
      </c>
      <c r="U120" s="218">
        <v>0.06</v>
      </c>
      <c r="V120" s="219">
        <f t="shared" si="28"/>
        <v>0.19</v>
      </c>
      <c r="Z120" s="239" t="s">
        <v>480</v>
      </c>
    </row>
    <row r="121" customHeight="1" spans="3:26">
      <c r="C121" s="183" t="s">
        <v>361</v>
      </c>
      <c r="D121" s="184" t="s">
        <v>98</v>
      </c>
      <c r="E121" s="184" t="s">
        <v>346</v>
      </c>
      <c r="F121" s="184" t="s">
        <v>347</v>
      </c>
      <c r="G121" s="230"/>
      <c r="H121" s="231">
        <v>45293</v>
      </c>
      <c r="I121" s="236" t="s">
        <v>367</v>
      </c>
      <c r="J121" s="232" t="s">
        <v>445</v>
      </c>
      <c r="K121" s="233">
        <v>1</v>
      </c>
      <c r="L121" s="234">
        <v>557.52</v>
      </c>
      <c r="M121" s="235">
        <v>730.088495575221</v>
      </c>
      <c r="N121" s="195">
        <f t="shared" si="27"/>
        <v>172.568495575221</v>
      </c>
      <c r="O121" s="196">
        <f t="shared" si="29"/>
        <v>0.236366545454545</v>
      </c>
      <c r="P121" s="195">
        <f t="shared" si="26"/>
        <v>21.9026548672566</v>
      </c>
      <c r="Q121" s="214">
        <f t="shared" si="30"/>
        <v>21.9026548672566</v>
      </c>
      <c r="R121" s="215">
        <f t="shared" si="31"/>
        <v>0.03</v>
      </c>
      <c r="S121" s="216">
        <f t="shared" si="32"/>
        <v>0.206366545454545</v>
      </c>
      <c r="T121" s="217">
        <f t="shared" si="33"/>
        <v>0.22</v>
      </c>
      <c r="U121" s="218">
        <v>0.06</v>
      </c>
      <c r="V121" s="219">
        <f t="shared" si="28"/>
        <v>0.19</v>
      </c>
      <c r="Z121" s="239" t="s">
        <v>481</v>
      </c>
    </row>
    <row r="122" customHeight="1" spans="1:26">
      <c r="A122" s="182"/>
      <c r="B122" s="182"/>
      <c r="C122" s="183" t="s">
        <v>361</v>
      </c>
      <c r="D122" s="184" t="s">
        <v>98</v>
      </c>
      <c r="E122" s="184" t="s">
        <v>346</v>
      </c>
      <c r="F122" s="184" t="s">
        <v>459</v>
      </c>
      <c r="G122" s="230"/>
      <c r="H122" s="231">
        <v>45293</v>
      </c>
      <c r="I122" s="193" t="s">
        <v>460</v>
      </c>
      <c r="J122" s="232" t="s">
        <v>465</v>
      </c>
      <c r="K122" s="233">
        <v>8</v>
      </c>
      <c r="L122" s="184">
        <v>728.19</v>
      </c>
      <c r="M122" s="233">
        <v>1127.43362831858</v>
      </c>
      <c r="N122" s="195">
        <f t="shared" si="27"/>
        <v>399.243628318584</v>
      </c>
      <c r="O122" s="196">
        <f t="shared" si="29"/>
        <v>0.354117189952904</v>
      </c>
      <c r="P122" s="195">
        <f t="shared" si="26"/>
        <v>33.8230088495575</v>
      </c>
      <c r="Q122" s="214">
        <f t="shared" si="30"/>
        <v>270.58407079646</v>
      </c>
      <c r="R122" s="215">
        <f t="shared" si="31"/>
        <v>0.03</v>
      </c>
      <c r="S122" s="216">
        <f t="shared" si="32"/>
        <v>0.324117189952904</v>
      </c>
      <c r="T122" s="217">
        <f t="shared" si="33"/>
        <v>0.22</v>
      </c>
      <c r="U122" s="218">
        <v>0.06</v>
      </c>
      <c r="V122" s="219">
        <f t="shared" si="28"/>
        <v>0.19</v>
      </c>
      <c r="Z122" s="239" t="s">
        <v>482</v>
      </c>
    </row>
    <row r="123" customHeight="1" spans="3:26">
      <c r="C123" s="183" t="s">
        <v>361</v>
      </c>
      <c r="D123" s="184" t="s">
        <v>98</v>
      </c>
      <c r="E123" s="184" t="s">
        <v>346</v>
      </c>
      <c r="F123" s="184" t="s">
        <v>347</v>
      </c>
      <c r="G123" s="230"/>
      <c r="H123" s="231">
        <v>45293</v>
      </c>
      <c r="I123" s="237" t="s">
        <v>367</v>
      </c>
      <c r="J123" s="232" t="s">
        <v>483</v>
      </c>
      <c r="K123" s="233">
        <v>2</v>
      </c>
      <c r="L123" s="234">
        <v>3803.97</v>
      </c>
      <c r="M123" s="235">
        <v>4407.0796460177</v>
      </c>
      <c r="N123" s="195">
        <f t="shared" si="27"/>
        <v>603.1096460177</v>
      </c>
      <c r="O123" s="196">
        <f t="shared" si="29"/>
        <v>0.136850180722892</v>
      </c>
      <c r="P123" s="195">
        <f t="shared" si="26"/>
        <v>132.212389380531</v>
      </c>
      <c r="Q123" s="214">
        <f t="shared" si="30"/>
        <v>264.424778761062</v>
      </c>
      <c r="R123" s="215">
        <f t="shared" si="31"/>
        <v>0.03</v>
      </c>
      <c r="S123" s="216">
        <f t="shared" si="32"/>
        <v>0.106850180722892</v>
      </c>
      <c r="T123" s="217">
        <f t="shared" si="33"/>
        <v>0.22</v>
      </c>
      <c r="U123" s="218">
        <v>0.06</v>
      </c>
      <c r="V123" s="219">
        <f t="shared" si="28"/>
        <v>0.19</v>
      </c>
      <c r="Z123" s="239" t="s">
        <v>482</v>
      </c>
    </row>
    <row r="124" customHeight="1" spans="1:26">
      <c r="A124" s="182"/>
      <c r="B124" s="182"/>
      <c r="C124" s="183" t="s">
        <v>361</v>
      </c>
      <c r="D124" s="184" t="s">
        <v>98</v>
      </c>
      <c r="E124" s="184" t="s">
        <v>346</v>
      </c>
      <c r="F124" s="184" t="s">
        <v>459</v>
      </c>
      <c r="G124" s="230"/>
      <c r="H124" s="231">
        <v>45294</v>
      </c>
      <c r="I124" s="193" t="s">
        <v>460</v>
      </c>
      <c r="J124" s="232" t="s">
        <v>484</v>
      </c>
      <c r="K124" s="233">
        <v>48</v>
      </c>
      <c r="L124" s="4">
        <v>128.95</v>
      </c>
      <c r="M124" s="233">
        <v>139.823008849558</v>
      </c>
      <c r="N124" s="195">
        <f t="shared" si="27"/>
        <v>10.8730088495576</v>
      </c>
      <c r="O124" s="196">
        <f t="shared" si="29"/>
        <v>0.0777626582278483</v>
      </c>
      <c r="P124" s="195">
        <f t="shared" si="26"/>
        <v>4.19469026548673</v>
      </c>
      <c r="Q124" s="214">
        <f t="shared" si="30"/>
        <v>201.345132743363</v>
      </c>
      <c r="R124" s="215">
        <f t="shared" si="31"/>
        <v>0.03</v>
      </c>
      <c r="S124" s="216">
        <f t="shared" si="32"/>
        <v>0.0477626582278483</v>
      </c>
      <c r="T124" s="217">
        <f t="shared" si="33"/>
        <v>0.22</v>
      </c>
      <c r="U124" s="218">
        <v>0.06</v>
      </c>
      <c r="V124" s="219">
        <f t="shared" si="28"/>
        <v>0.19</v>
      </c>
      <c r="Z124" s="239" t="s">
        <v>485</v>
      </c>
    </row>
    <row r="125" customHeight="1" spans="1:26">
      <c r="A125" s="182"/>
      <c r="B125" s="182"/>
      <c r="C125" s="183" t="s">
        <v>361</v>
      </c>
      <c r="D125" s="184" t="s">
        <v>98</v>
      </c>
      <c r="E125" s="184" t="s">
        <v>346</v>
      </c>
      <c r="F125" s="184" t="s">
        <v>459</v>
      </c>
      <c r="G125" s="230"/>
      <c r="H125" s="231">
        <v>45294</v>
      </c>
      <c r="I125" s="193" t="s">
        <v>460</v>
      </c>
      <c r="J125" s="232" t="s">
        <v>486</v>
      </c>
      <c r="K125" s="233">
        <v>32</v>
      </c>
      <c r="L125" s="4">
        <v>1001.27</v>
      </c>
      <c r="M125" s="233">
        <v>1959.29203539823</v>
      </c>
      <c r="N125" s="195">
        <f t="shared" si="27"/>
        <v>958.02203539823</v>
      </c>
      <c r="O125" s="196">
        <f t="shared" si="29"/>
        <v>0.488963369467028</v>
      </c>
      <c r="P125" s="195">
        <f t="shared" si="26"/>
        <v>58.7787610619469</v>
      </c>
      <c r="Q125" s="214">
        <f t="shared" si="30"/>
        <v>1880.9203539823</v>
      </c>
      <c r="R125" s="215">
        <f t="shared" si="31"/>
        <v>0.03</v>
      </c>
      <c r="S125" s="216">
        <f t="shared" si="32"/>
        <v>0.458963369467028</v>
      </c>
      <c r="T125" s="217">
        <f t="shared" si="33"/>
        <v>0.22</v>
      </c>
      <c r="U125" s="218">
        <v>0.06</v>
      </c>
      <c r="V125" s="219">
        <f t="shared" si="28"/>
        <v>0.19</v>
      </c>
      <c r="Z125" s="239" t="s">
        <v>485</v>
      </c>
    </row>
    <row r="126" customHeight="1" spans="1:26">
      <c r="A126" s="182"/>
      <c r="B126" s="182"/>
      <c r="C126" s="183" t="s">
        <v>361</v>
      </c>
      <c r="D126" s="184" t="s">
        <v>98</v>
      </c>
      <c r="E126" s="184" t="s">
        <v>346</v>
      </c>
      <c r="F126" s="184" t="s">
        <v>459</v>
      </c>
      <c r="G126" s="230"/>
      <c r="H126" s="231">
        <v>45294</v>
      </c>
      <c r="I126" s="193" t="s">
        <v>460</v>
      </c>
      <c r="J126" s="232" t="s">
        <v>487</v>
      </c>
      <c r="K126" s="233">
        <v>8</v>
      </c>
      <c r="L126" s="4">
        <v>6652.34</v>
      </c>
      <c r="M126" s="233">
        <v>8420.35398230089</v>
      </c>
      <c r="N126" s="195">
        <f t="shared" si="27"/>
        <v>1768.01398230088</v>
      </c>
      <c r="O126" s="196">
        <f t="shared" si="29"/>
        <v>0.209969080399369</v>
      </c>
      <c r="P126" s="195">
        <f t="shared" si="26"/>
        <v>252.610619469027</v>
      </c>
      <c r="Q126" s="214">
        <f t="shared" si="30"/>
        <v>2020.88495575221</v>
      </c>
      <c r="R126" s="215">
        <f t="shared" si="31"/>
        <v>0.03</v>
      </c>
      <c r="S126" s="216">
        <f t="shared" si="32"/>
        <v>0.179969080399369</v>
      </c>
      <c r="T126" s="217">
        <f t="shared" si="33"/>
        <v>0.22</v>
      </c>
      <c r="U126" s="218">
        <v>0.06</v>
      </c>
      <c r="V126" s="219">
        <f t="shared" si="28"/>
        <v>0.19</v>
      </c>
      <c r="Z126" s="239" t="s">
        <v>485</v>
      </c>
    </row>
    <row r="127" customHeight="1" spans="3:26">
      <c r="C127" s="183" t="s">
        <v>361</v>
      </c>
      <c r="D127" s="184" t="s">
        <v>98</v>
      </c>
      <c r="E127" s="184" t="s">
        <v>346</v>
      </c>
      <c r="F127" s="184" t="s">
        <v>347</v>
      </c>
      <c r="G127" s="230"/>
      <c r="H127" s="231">
        <v>45297</v>
      </c>
      <c r="I127" s="238" t="s">
        <v>367</v>
      </c>
      <c r="J127" s="232" t="s">
        <v>488</v>
      </c>
      <c r="K127" s="233">
        <v>1</v>
      </c>
      <c r="L127" s="234">
        <v>4182.8</v>
      </c>
      <c r="M127" s="235">
        <v>5619.46902654867</v>
      </c>
      <c r="N127" s="195">
        <f t="shared" si="27"/>
        <v>1436.66902654867</v>
      </c>
      <c r="O127" s="196">
        <f t="shared" si="29"/>
        <v>0.255659212598425</v>
      </c>
      <c r="P127" s="195">
        <f t="shared" si="26"/>
        <v>168.58407079646</v>
      </c>
      <c r="Q127" s="214">
        <f t="shared" si="30"/>
        <v>168.58407079646</v>
      </c>
      <c r="R127" s="215">
        <f t="shared" si="31"/>
        <v>0.03</v>
      </c>
      <c r="S127" s="216">
        <f t="shared" si="32"/>
        <v>0.225659212598425</v>
      </c>
      <c r="T127" s="217">
        <f t="shared" si="33"/>
        <v>0.22</v>
      </c>
      <c r="U127" s="218">
        <v>0.06</v>
      </c>
      <c r="V127" s="219">
        <f t="shared" si="28"/>
        <v>0.19</v>
      </c>
      <c r="Z127" s="240" t="s">
        <v>489</v>
      </c>
    </row>
    <row r="128" customHeight="1" spans="3:26">
      <c r="C128" s="183" t="s">
        <v>361</v>
      </c>
      <c r="D128" s="184" t="s">
        <v>98</v>
      </c>
      <c r="E128" s="184" t="s">
        <v>346</v>
      </c>
      <c r="F128" s="184" t="s">
        <v>347</v>
      </c>
      <c r="G128" s="230"/>
      <c r="H128" s="231">
        <v>45299</v>
      </c>
      <c r="I128" s="193" t="s">
        <v>367</v>
      </c>
      <c r="J128" s="232" t="s">
        <v>389</v>
      </c>
      <c r="K128" s="233">
        <v>1</v>
      </c>
      <c r="L128" s="195">
        <v>318.58407079646</v>
      </c>
      <c r="M128" s="235">
        <v>393.805309734513</v>
      </c>
      <c r="N128" s="195">
        <f t="shared" si="27"/>
        <v>75.2212389380533</v>
      </c>
      <c r="O128" s="196">
        <f t="shared" si="29"/>
        <v>0.191011235955057</v>
      </c>
      <c r="P128" s="195">
        <f t="shared" si="26"/>
        <v>11.8141592920354</v>
      </c>
      <c r="Q128" s="214">
        <f t="shared" si="30"/>
        <v>11.8141592920354</v>
      </c>
      <c r="R128" s="215">
        <f t="shared" si="31"/>
        <v>0.03</v>
      </c>
      <c r="S128" s="216">
        <f t="shared" si="32"/>
        <v>0.161011235955057</v>
      </c>
      <c r="T128" s="217">
        <f t="shared" si="33"/>
        <v>0.22</v>
      </c>
      <c r="U128" s="218">
        <v>0.06</v>
      </c>
      <c r="V128" s="219">
        <f t="shared" si="28"/>
        <v>0.19</v>
      </c>
      <c r="Z128" s="240" t="s">
        <v>490</v>
      </c>
    </row>
    <row r="129" customHeight="1" spans="3:26">
      <c r="C129" s="183" t="s">
        <v>361</v>
      </c>
      <c r="D129" s="184" t="s">
        <v>98</v>
      </c>
      <c r="E129" s="184" t="s">
        <v>346</v>
      </c>
      <c r="F129" s="184" t="s">
        <v>347</v>
      </c>
      <c r="G129" s="230"/>
      <c r="H129" s="231">
        <v>45302</v>
      </c>
      <c r="I129" s="193" t="s">
        <v>367</v>
      </c>
      <c r="J129" s="232" t="s">
        <v>445</v>
      </c>
      <c r="K129" s="233">
        <v>1</v>
      </c>
      <c r="L129" s="234">
        <v>557.52</v>
      </c>
      <c r="M129" s="235">
        <v>730.088495575221</v>
      </c>
      <c r="N129" s="195">
        <f t="shared" si="27"/>
        <v>172.568495575221</v>
      </c>
      <c r="O129" s="196">
        <f t="shared" si="29"/>
        <v>0.236366545454545</v>
      </c>
      <c r="P129" s="195">
        <f t="shared" si="26"/>
        <v>21.9026548672566</v>
      </c>
      <c r="Q129" s="214">
        <f t="shared" si="30"/>
        <v>21.9026548672566</v>
      </c>
      <c r="R129" s="215">
        <f t="shared" si="31"/>
        <v>0.03</v>
      </c>
      <c r="S129" s="216">
        <f t="shared" si="32"/>
        <v>0.206366545454545</v>
      </c>
      <c r="T129" s="217">
        <f t="shared" si="33"/>
        <v>0.22</v>
      </c>
      <c r="U129" s="218">
        <v>0.06</v>
      </c>
      <c r="V129" s="219">
        <f t="shared" si="28"/>
        <v>0.19</v>
      </c>
      <c r="Z129" s="240" t="s">
        <v>491</v>
      </c>
    </row>
    <row r="130" customHeight="1" spans="3:26">
      <c r="C130" s="183" t="s">
        <v>361</v>
      </c>
      <c r="D130" s="184" t="s">
        <v>98</v>
      </c>
      <c r="E130" s="184" t="s">
        <v>346</v>
      </c>
      <c r="F130" s="184" t="s">
        <v>347</v>
      </c>
      <c r="G130" s="230"/>
      <c r="H130" s="231">
        <v>45306</v>
      </c>
      <c r="I130" s="193" t="s">
        <v>367</v>
      </c>
      <c r="J130" s="232" t="s">
        <v>492</v>
      </c>
      <c r="K130" s="233">
        <v>5</v>
      </c>
      <c r="L130" s="234">
        <v>5074.93</v>
      </c>
      <c r="M130" s="235">
        <v>5853.98230088496</v>
      </c>
      <c r="N130" s="195">
        <f t="shared" si="27"/>
        <v>779.052300884956</v>
      </c>
      <c r="O130" s="196">
        <f t="shared" si="29"/>
        <v>0.133080740740741</v>
      </c>
      <c r="P130" s="195">
        <f t="shared" si="26"/>
        <v>175.619469026549</v>
      </c>
      <c r="Q130" s="214">
        <f t="shared" si="30"/>
        <v>878.097345132743</v>
      </c>
      <c r="R130" s="215">
        <f t="shared" si="31"/>
        <v>0.03</v>
      </c>
      <c r="S130" s="216">
        <f t="shared" si="32"/>
        <v>0.103080740740741</v>
      </c>
      <c r="T130" s="217">
        <f t="shared" si="33"/>
        <v>0.22</v>
      </c>
      <c r="U130" s="218">
        <v>0.06</v>
      </c>
      <c r="V130" s="219">
        <f t="shared" si="28"/>
        <v>0.19</v>
      </c>
      <c r="Z130" s="240" t="s">
        <v>493</v>
      </c>
    </row>
    <row r="131" customHeight="1" spans="3:26">
      <c r="C131" s="183" t="s">
        <v>361</v>
      </c>
      <c r="D131" s="184" t="s">
        <v>98</v>
      </c>
      <c r="E131" s="184" t="s">
        <v>346</v>
      </c>
      <c r="F131" s="184" t="s">
        <v>347</v>
      </c>
      <c r="G131" s="230"/>
      <c r="H131" s="231">
        <v>45306</v>
      </c>
      <c r="I131" s="236" t="s">
        <v>367</v>
      </c>
      <c r="J131" s="232" t="s">
        <v>494</v>
      </c>
      <c r="K131" s="233">
        <v>8</v>
      </c>
      <c r="L131" s="195">
        <v>318.58407079646</v>
      </c>
      <c r="M131" s="235">
        <v>393.805309734513</v>
      </c>
      <c r="N131" s="195">
        <f t="shared" si="27"/>
        <v>75.2212389380533</v>
      </c>
      <c r="O131" s="196">
        <f t="shared" si="29"/>
        <v>0.191011235955057</v>
      </c>
      <c r="P131" s="195">
        <f t="shared" si="26"/>
        <v>11.8141592920354</v>
      </c>
      <c r="Q131" s="214">
        <f t="shared" si="30"/>
        <v>94.5132743362832</v>
      </c>
      <c r="R131" s="215">
        <f t="shared" si="31"/>
        <v>0.03</v>
      </c>
      <c r="S131" s="216">
        <f t="shared" si="32"/>
        <v>0.161011235955057</v>
      </c>
      <c r="T131" s="217">
        <f t="shared" si="33"/>
        <v>0.22</v>
      </c>
      <c r="U131" s="218">
        <v>0.06</v>
      </c>
      <c r="V131" s="219">
        <f t="shared" si="28"/>
        <v>0.19</v>
      </c>
      <c r="Z131" s="240" t="s">
        <v>493</v>
      </c>
    </row>
    <row r="132" customHeight="1" spans="1:26">
      <c r="A132" s="182"/>
      <c r="B132" s="182"/>
      <c r="C132" s="183" t="s">
        <v>361</v>
      </c>
      <c r="D132" s="184" t="s">
        <v>98</v>
      </c>
      <c r="E132" s="184" t="s">
        <v>346</v>
      </c>
      <c r="F132" s="184" t="s">
        <v>459</v>
      </c>
      <c r="G132" s="230"/>
      <c r="H132" s="231">
        <v>45306</v>
      </c>
      <c r="I132" s="193" t="s">
        <v>460</v>
      </c>
      <c r="J132" s="232" t="s">
        <v>461</v>
      </c>
      <c r="K132" s="233">
        <v>96</v>
      </c>
      <c r="L132" s="4">
        <v>128.95</v>
      </c>
      <c r="M132" s="233">
        <v>139.823008849558</v>
      </c>
      <c r="N132" s="195">
        <f t="shared" si="27"/>
        <v>10.8730088495576</v>
      </c>
      <c r="O132" s="196">
        <f t="shared" si="29"/>
        <v>0.0777626582278483</v>
      </c>
      <c r="P132" s="195">
        <f t="shared" si="26"/>
        <v>4.19469026548673</v>
      </c>
      <c r="Q132" s="214">
        <f t="shared" si="30"/>
        <v>402.690265486726</v>
      </c>
      <c r="R132" s="215">
        <f t="shared" si="31"/>
        <v>0.03</v>
      </c>
      <c r="S132" s="216">
        <f t="shared" si="32"/>
        <v>0.0477626582278483</v>
      </c>
      <c r="T132" s="217">
        <f t="shared" si="33"/>
        <v>0.22</v>
      </c>
      <c r="U132" s="218">
        <v>0.06</v>
      </c>
      <c r="V132" s="219">
        <f t="shared" si="28"/>
        <v>0.19</v>
      </c>
      <c r="Z132" s="240" t="s">
        <v>495</v>
      </c>
    </row>
    <row r="133" customHeight="1" spans="1:26">
      <c r="A133" s="182"/>
      <c r="B133" s="182"/>
      <c r="C133" s="183" t="s">
        <v>361</v>
      </c>
      <c r="D133" s="184" t="s">
        <v>98</v>
      </c>
      <c r="E133" s="184" t="s">
        <v>346</v>
      </c>
      <c r="F133" s="184" t="s">
        <v>459</v>
      </c>
      <c r="G133" s="230"/>
      <c r="H133" s="231">
        <v>45306</v>
      </c>
      <c r="I133" s="193" t="s">
        <v>460</v>
      </c>
      <c r="J133" s="232" t="s">
        <v>463</v>
      </c>
      <c r="K133" s="233">
        <v>64</v>
      </c>
      <c r="L133" s="4">
        <v>1001.27</v>
      </c>
      <c r="M133" s="233">
        <v>1955.75221238938</v>
      </c>
      <c r="N133" s="195">
        <f t="shared" si="27"/>
        <v>954.482212389381</v>
      </c>
      <c r="O133" s="196">
        <f t="shared" si="29"/>
        <v>0.488038416289593</v>
      </c>
      <c r="P133" s="195">
        <f t="shared" si="26"/>
        <v>58.6725663716814</v>
      </c>
      <c r="Q133" s="214">
        <f t="shared" si="30"/>
        <v>3755.04424778761</v>
      </c>
      <c r="R133" s="215">
        <f t="shared" si="31"/>
        <v>0.03</v>
      </c>
      <c r="S133" s="216">
        <f t="shared" si="32"/>
        <v>0.458038416289593</v>
      </c>
      <c r="T133" s="217">
        <f t="shared" si="33"/>
        <v>0.22</v>
      </c>
      <c r="U133" s="218">
        <v>0.06</v>
      </c>
      <c r="V133" s="219">
        <f t="shared" si="28"/>
        <v>0.19</v>
      </c>
      <c r="Z133" s="240" t="s">
        <v>495</v>
      </c>
    </row>
    <row r="134" customHeight="1" spans="1:26">
      <c r="A134" s="182"/>
      <c r="B134" s="182"/>
      <c r="C134" s="183" t="s">
        <v>361</v>
      </c>
      <c r="D134" s="184" t="s">
        <v>98</v>
      </c>
      <c r="E134" s="184" t="s">
        <v>346</v>
      </c>
      <c r="F134" s="184" t="s">
        <v>459</v>
      </c>
      <c r="G134" s="230"/>
      <c r="H134" s="231">
        <v>45306</v>
      </c>
      <c r="I134" s="193" t="s">
        <v>460</v>
      </c>
      <c r="J134" s="232" t="s">
        <v>464</v>
      </c>
      <c r="K134" s="233">
        <v>16</v>
      </c>
      <c r="L134" s="4">
        <v>6652.34</v>
      </c>
      <c r="M134" s="233">
        <v>8402.65486725664</v>
      </c>
      <c r="N134" s="195">
        <f t="shared" si="27"/>
        <v>1750.31486725664</v>
      </c>
      <c r="O134" s="196">
        <f t="shared" si="29"/>
        <v>0.208304981569247</v>
      </c>
      <c r="P134" s="195">
        <f t="shared" si="26"/>
        <v>252.079646017699</v>
      </c>
      <c r="Q134" s="214">
        <f t="shared" si="30"/>
        <v>4033.27433628319</v>
      </c>
      <c r="R134" s="215">
        <f t="shared" si="31"/>
        <v>0.03</v>
      </c>
      <c r="S134" s="216">
        <f t="shared" si="32"/>
        <v>0.178304981569247</v>
      </c>
      <c r="T134" s="217">
        <f t="shared" si="33"/>
        <v>0.22</v>
      </c>
      <c r="U134" s="218">
        <v>0.06</v>
      </c>
      <c r="V134" s="219">
        <f t="shared" si="28"/>
        <v>0.19</v>
      </c>
      <c r="Z134" s="240" t="s">
        <v>495</v>
      </c>
    </row>
    <row r="135" customHeight="1" spans="1:26">
      <c r="A135" s="182"/>
      <c r="B135" s="182"/>
      <c r="C135" s="183" t="s">
        <v>361</v>
      </c>
      <c r="D135" s="184" t="s">
        <v>98</v>
      </c>
      <c r="E135" s="184" t="s">
        <v>346</v>
      </c>
      <c r="F135" s="184" t="s">
        <v>459</v>
      </c>
      <c r="G135" s="230"/>
      <c r="H135" s="231">
        <v>45306</v>
      </c>
      <c r="I135" s="193" t="s">
        <v>460</v>
      </c>
      <c r="J135" s="232" t="s">
        <v>465</v>
      </c>
      <c r="K135" s="233">
        <v>16</v>
      </c>
      <c r="L135" s="4">
        <v>728.19</v>
      </c>
      <c r="M135" s="233">
        <v>1123.89380530973</v>
      </c>
      <c r="N135" s="195">
        <f t="shared" si="27"/>
        <v>395.703805309735</v>
      </c>
      <c r="O135" s="196">
        <f t="shared" si="29"/>
        <v>0.352082913385827</v>
      </c>
      <c r="P135" s="195">
        <f t="shared" si="26"/>
        <v>33.716814159292</v>
      </c>
      <c r="Q135" s="214">
        <f t="shared" si="30"/>
        <v>539.469026548673</v>
      </c>
      <c r="R135" s="215">
        <f t="shared" si="31"/>
        <v>0.03</v>
      </c>
      <c r="S135" s="216">
        <f t="shared" si="32"/>
        <v>0.322082913385827</v>
      </c>
      <c r="T135" s="217">
        <f t="shared" si="33"/>
        <v>0.22</v>
      </c>
      <c r="U135" s="218">
        <v>0.06</v>
      </c>
      <c r="V135" s="219">
        <f t="shared" si="28"/>
        <v>0.19</v>
      </c>
      <c r="Z135" s="240" t="s">
        <v>495</v>
      </c>
    </row>
    <row r="136" customHeight="1" spans="3:26">
      <c r="C136" s="183" t="s">
        <v>361</v>
      </c>
      <c r="D136" s="184" t="s">
        <v>98</v>
      </c>
      <c r="E136" s="184" t="s">
        <v>346</v>
      </c>
      <c r="F136" s="184" t="s">
        <v>347</v>
      </c>
      <c r="G136" s="230"/>
      <c r="H136" s="231">
        <v>45306</v>
      </c>
      <c r="I136" s="243" t="s">
        <v>440</v>
      </c>
      <c r="J136" s="232" t="s">
        <v>441</v>
      </c>
      <c r="K136" s="233">
        <v>1</v>
      </c>
      <c r="L136" s="234">
        <v>1238.94</v>
      </c>
      <c r="M136" s="235">
        <v>1396.46017699115</v>
      </c>
      <c r="N136" s="195">
        <f t="shared" si="27"/>
        <v>157.52017699115</v>
      </c>
      <c r="O136" s="196">
        <f t="shared" si="29"/>
        <v>0.112799619771863</v>
      </c>
      <c r="P136" s="195">
        <f t="shared" si="26"/>
        <v>41.8938053097345</v>
      </c>
      <c r="Q136" s="214">
        <f t="shared" si="30"/>
        <v>41.8938053097345</v>
      </c>
      <c r="R136" s="215">
        <f t="shared" si="31"/>
        <v>0.03</v>
      </c>
      <c r="S136" s="216">
        <f t="shared" si="32"/>
        <v>0.0827996197718631</v>
      </c>
      <c r="T136" s="217">
        <f t="shared" si="33"/>
        <v>0.22</v>
      </c>
      <c r="U136" s="218">
        <v>0.06</v>
      </c>
      <c r="V136" s="219">
        <f t="shared" si="28"/>
        <v>0.19</v>
      </c>
      <c r="Z136" s="240" t="s">
        <v>496</v>
      </c>
    </row>
    <row r="137" customHeight="1" spans="3:26">
      <c r="C137" s="183" t="s">
        <v>361</v>
      </c>
      <c r="D137" s="184" t="s">
        <v>98</v>
      </c>
      <c r="E137" s="184" t="s">
        <v>346</v>
      </c>
      <c r="F137" s="184" t="s">
        <v>347</v>
      </c>
      <c r="G137" s="230"/>
      <c r="H137" s="231">
        <v>45309</v>
      </c>
      <c r="I137" s="193" t="s">
        <v>367</v>
      </c>
      <c r="J137" s="232" t="s">
        <v>497</v>
      </c>
      <c r="K137" s="233">
        <v>1</v>
      </c>
      <c r="L137" s="234">
        <v>6492.6</v>
      </c>
      <c r="M137" s="235">
        <v>7764.60176991151</v>
      </c>
      <c r="N137" s="195">
        <f t="shared" si="27"/>
        <v>1272.00176991151</v>
      </c>
      <c r="O137" s="196">
        <f t="shared" si="29"/>
        <v>0.163820606336905</v>
      </c>
      <c r="P137" s="195">
        <f t="shared" si="26"/>
        <v>232.938053097345</v>
      </c>
      <c r="Q137" s="214">
        <f t="shared" si="30"/>
        <v>232.938053097345</v>
      </c>
      <c r="R137" s="215">
        <f t="shared" si="31"/>
        <v>0.03</v>
      </c>
      <c r="S137" s="216">
        <f t="shared" si="32"/>
        <v>0.133820606336905</v>
      </c>
      <c r="T137" s="217">
        <f t="shared" si="33"/>
        <v>0.22</v>
      </c>
      <c r="U137" s="218">
        <v>0.06</v>
      </c>
      <c r="V137" s="219">
        <f t="shared" si="28"/>
        <v>0.19</v>
      </c>
      <c r="Z137" s="240" t="s">
        <v>498</v>
      </c>
    </row>
    <row r="138" customHeight="1" spans="3:26">
      <c r="C138" s="183" t="s">
        <v>361</v>
      </c>
      <c r="D138" s="184" t="s">
        <v>98</v>
      </c>
      <c r="E138" s="184" t="s">
        <v>346</v>
      </c>
      <c r="F138" s="184" t="s">
        <v>347</v>
      </c>
      <c r="G138" s="230"/>
      <c r="H138" s="231">
        <v>45309</v>
      </c>
      <c r="I138" s="193" t="s">
        <v>367</v>
      </c>
      <c r="J138" s="232" t="s">
        <v>499</v>
      </c>
      <c r="K138" s="233">
        <v>2</v>
      </c>
      <c r="L138" s="234">
        <v>3603.09</v>
      </c>
      <c r="M138" s="235">
        <v>4469.02654867257</v>
      </c>
      <c r="N138" s="195">
        <f t="shared" si="27"/>
        <v>865.936548672566</v>
      </c>
      <c r="O138" s="196">
        <f t="shared" si="29"/>
        <v>0.19376401980198</v>
      </c>
      <c r="P138" s="195">
        <f t="shared" si="26"/>
        <v>134.070796460177</v>
      </c>
      <c r="Q138" s="214">
        <f t="shared" si="30"/>
        <v>268.141592920354</v>
      </c>
      <c r="R138" s="215">
        <f t="shared" si="31"/>
        <v>0.03</v>
      </c>
      <c r="S138" s="216">
        <f t="shared" si="32"/>
        <v>0.16376401980198</v>
      </c>
      <c r="T138" s="217">
        <f t="shared" si="33"/>
        <v>0.22</v>
      </c>
      <c r="U138" s="218">
        <v>0.06</v>
      </c>
      <c r="V138" s="219">
        <f t="shared" si="28"/>
        <v>0.19</v>
      </c>
      <c r="Z138" s="240" t="s">
        <v>500</v>
      </c>
    </row>
    <row r="139" customHeight="1" spans="3:26">
      <c r="C139" s="183" t="s">
        <v>361</v>
      </c>
      <c r="D139" s="184" t="s">
        <v>98</v>
      </c>
      <c r="E139" s="184" t="s">
        <v>346</v>
      </c>
      <c r="F139" s="184" t="s">
        <v>347</v>
      </c>
      <c r="G139" s="230"/>
      <c r="H139" s="231">
        <v>45324</v>
      </c>
      <c r="I139" s="193" t="s">
        <v>367</v>
      </c>
      <c r="J139" s="232" t="s">
        <v>445</v>
      </c>
      <c r="K139" s="233">
        <v>1</v>
      </c>
      <c r="L139" s="234">
        <v>557.52</v>
      </c>
      <c r="M139" s="235">
        <v>730.088495575221</v>
      </c>
      <c r="N139" s="195">
        <f t="shared" si="27"/>
        <v>172.568495575221</v>
      </c>
      <c r="O139" s="196">
        <f t="shared" si="29"/>
        <v>0.236366545454545</v>
      </c>
      <c r="P139" s="195">
        <f t="shared" si="26"/>
        <v>21.9026548672566</v>
      </c>
      <c r="Q139" s="214">
        <f t="shared" si="30"/>
        <v>21.9026548672566</v>
      </c>
      <c r="R139" s="215">
        <f t="shared" si="31"/>
        <v>0.03</v>
      </c>
      <c r="S139" s="216">
        <f t="shared" si="32"/>
        <v>0.206366545454545</v>
      </c>
      <c r="T139" s="217">
        <f t="shared" si="33"/>
        <v>0.22</v>
      </c>
      <c r="U139" s="218">
        <v>0.06</v>
      </c>
      <c r="V139" s="219">
        <f t="shared" si="28"/>
        <v>0.19</v>
      </c>
      <c r="Z139" s="240" t="s">
        <v>501</v>
      </c>
    </row>
    <row r="140" customHeight="1" spans="3:26">
      <c r="C140" s="183" t="s">
        <v>361</v>
      </c>
      <c r="D140" s="184" t="s">
        <v>98</v>
      </c>
      <c r="E140" s="184" t="s">
        <v>346</v>
      </c>
      <c r="F140" s="184" t="s">
        <v>347</v>
      </c>
      <c r="G140" s="230"/>
      <c r="H140" s="231">
        <v>45324</v>
      </c>
      <c r="I140" s="193" t="s">
        <v>367</v>
      </c>
      <c r="J140" s="232" t="s">
        <v>445</v>
      </c>
      <c r="K140" s="233">
        <v>1</v>
      </c>
      <c r="L140" s="234">
        <v>557.52</v>
      </c>
      <c r="M140" s="235">
        <v>730.088495575221</v>
      </c>
      <c r="N140" s="195">
        <f t="shared" si="27"/>
        <v>172.568495575221</v>
      </c>
      <c r="O140" s="196">
        <f t="shared" si="29"/>
        <v>0.236366545454545</v>
      </c>
      <c r="P140" s="195">
        <f t="shared" si="26"/>
        <v>21.9026548672566</v>
      </c>
      <c r="Q140" s="214">
        <f t="shared" si="30"/>
        <v>21.9026548672566</v>
      </c>
      <c r="R140" s="215">
        <f t="shared" si="31"/>
        <v>0.03</v>
      </c>
      <c r="S140" s="216">
        <f t="shared" si="32"/>
        <v>0.206366545454545</v>
      </c>
      <c r="T140" s="217">
        <f t="shared" si="33"/>
        <v>0.22</v>
      </c>
      <c r="U140" s="218">
        <v>0.06</v>
      </c>
      <c r="V140" s="219">
        <f t="shared" si="28"/>
        <v>0.19</v>
      </c>
      <c r="Z140" s="240" t="s">
        <v>501</v>
      </c>
    </row>
    <row r="141" customHeight="1" spans="3:26">
      <c r="C141" s="183" t="s">
        <v>361</v>
      </c>
      <c r="D141" s="184" t="s">
        <v>98</v>
      </c>
      <c r="E141" s="184" t="s">
        <v>346</v>
      </c>
      <c r="F141" s="184" t="s">
        <v>347</v>
      </c>
      <c r="G141" s="230"/>
      <c r="H141" s="231">
        <v>45328</v>
      </c>
      <c r="I141" s="7"/>
      <c r="J141" s="232" t="s">
        <v>502</v>
      </c>
      <c r="K141" s="233">
        <v>1</v>
      </c>
      <c r="L141" s="234">
        <v>486.73</v>
      </c>
      <c r="M141" s="235">
        <v>676.991150442478</v>
      </c>
      <c r="N141" s="195">
        <f t="shared" si="27"/>
        <v>190.261150442478</v>
      </c>
      <c r="O141" s="196">
        <f t="shared" si="29"/>
        <v>0.281039346405229</v>
      </c>
      <c r="P141" s="195">
        <f t="shared" si="26"/>
        <v>20.3097345132743</v>
      </c>
      <c r="Q141" s="214">
        <f t="shared" si="30"/>
        <v>20.3097345132743</v>
      </c>
      <c r="R141" s="215">
        <f t="shared" si="31"/>
        <v>0.03</v>
      </c>
      <c r="S141" s="216">
        <f t="shared" si="32"/>
        <v>0.251039346405229</v>
      </c>
      <c r="T141" s="217">
        <f t="shared" si="33"/>
        <v>0.22</v>
      </c>
      <c r="U141" s="218">
        <v>0.06</v>
      </c>
      <c r="V141" s="219">
        <f t="shared" si="28"/>
        <v>0.19</v>
      </c>
      <c r="Z141" s="240" t="s">
        <v>503</v>
      </c>
    </row>
    <row r="142" customHeight="1" spans="3:26">
      <c r="C142" s="183" t="s">
        <v>361</v>
      </c>
      <c r="D142" s="184" t="s">
        <v>98</v>
      </c>
      <c r="E142" s="184" t="s">
        <v>346</v>
      </c>
      <c r="F142" s="184" t="s">
        <v>347</v>
      </c>
      <c r="G142" s="230"/>
      <c r="H142" s="231">
        <v>45328</v>
      </c>
      <c r="I142" s="236" t="s">
        <v>367</v>
      </c>
      <c r="J142" s="232" t="s">
        <v>483</v>
      </c>
      <c r="K142" s="233">
        <v>2</v>
      </c>
      <c r="L142" s="234">
        <v>3822.55</v>
      </c>
      <c r="M142" s="235">
        <v>4407.0796460177</v>
      </c>
      <c r="N142" s="195">
        <f t="shared" si="27"/>
        <v>584.5296460177</v>
      </c>
      <c r="O142" s="196">
        <f t="shared" si="29"/>
        <v>0.132634236947791</v>
      </c>
      <c r="P142" s="195">
        <f t="shared" si="26"/>
        <v>132.212389380531</v>
      </c>
      <c r="Q142" s="214">
        <f t="shared" si="30"/>
        <v>264.424778761062</v>
      </c>
      <c r="R142" s="215">
        <f t="shared" si="31"/>
        <v>0.03</v>
      </c>
      <c r="S142" s="216">
        <f t="shared" si="32"/>
        <v>0.102634236947791</v>
      </c>
      <c r="T142" s="217">
        <f t="shared" si="33"/>
        <v>0.22</v>
      </c>
      <c r="U142" s="218">
        <v>0.06</v>
      </c>
      <c r="V142" s="219">
        <f t="shared" si="28"/>
        <v>0.19</v>
      </c>
      <c r="Z142" s="240" t="s">
        <v>504</v>
      </c>
    </row>
    <row r="143" customHeight="1" spans="3:26">
      <c r="C143" s="183" t="s">
        <v>361</v>
      </c>
      <c r="D143" s="184" t="s">
        <v>98</v>
      </c>
      <c r="E143" s="184" t="s">
        <v>346</v>
      </c>
      <c r="F143" s="184" t="s">
        <v>347</v>
      </c>
      <c r="G143" s="230"/>
      <c r="H143" s="231">
        <v>45345</v>
      </c>
      <c r="I143" s="238" t="s">
        <v>367</v>
      </c>
      <c r="J143" s="232" t="s">
        <v>505</v>
      </c>
      <c r="K143" s="233">
        <v>2</v>
      </c>
      <c r="L143" s="234">
        <v>5013.86</v>
      </c>
      <c r="M143" s="235">
        <v>6371.6814159292</v>
      </c>
      <c r="N143" s="195">
        <f t="shared" ref="N143:N175" si="34">M143-L143</f>
        <v>1357.8214159292</v>
      </c>
      <c r="O143" s="196">
        <f t="shared" si="29"/>
        <v>0.213102527777778</v>
      </c>
      <c r="P143" s="195">
        <f t="shared" ref="P143:P175" si="35">M143*0.03</f>
        <v>191.150442477876</v>
      </c>
      <c r="Q143" s="214">
        <f t="shared" si="30"/>
        <v>382.300884955752</v>
      </c>
      <c r="R143" s="215">
        <f t="shared" si="31"/>
        <v>0.03</v>
      </c>
      <c r="S143" s="216">
        <f t="shared" ref="S143:S156" si="36">IF(AND(($N143*$K143-$Q143)&lt;&gt;0,($M143*$K143)&lt;&gt;0),($N143*$K143-$Q143)/($M143*$K143),"")</f>
        <v>0.183102527777778</v>
      </c>
      <c r="T143" s="217">
        <f t="shared" si="33"/>
        <v>0.22</v>
      </c>
      <c r="U143" s="218">
        <v>0.06</v>
      </c>
      <c r="V143" s="219">
        <f t="shared" si="28"/>
        <v>0.19</v>
      </c>
      <c r="Z143" s="240" t="s">
        <v>506</v>
      </c>
    </row>
    <row r="144" customHeight="1" spans="3:26">
      <c r="C144" s="183" t="s">
        <v>361</v>
      </c>
      <c r="D144" s="184" t="s">
        <v>98</v>
      </c>
      <c r="E144" s="184" t="s">
        <v>346</v>
      </c>
      <c r="F144" s="184" t="s">
        <v>347</v>
      </c>
      <c r="G144" s="230"/>
      <c r="H144" s="231">
        <v>45345</v>
      </c>
      <c r="I144" s="193" t="s">
        <v>367</v>
      </c>
      <c r="J144" s="232" t="s">
        <v>507</v>
      </c>
      <c r="K144" s="233">
        <v>2</v>
      </c>
      <c r="L144" s="234">
        <v>4334.15</v>
      </c>
      <c r="M144" s="235">
        <v>5485.8407079646</v>
      </c>
      <c r="N144" s="195">
        <f t="shared" si="34"/>
        <v>1151.6907079646</v>
      </c>
      <c r="O144" s="196">
        <f t="shared" si="29"/>
        <v>0.20993878044846</v>
      </c>
      <c r="P144" s="195">
        <f t="shared" si="35"/>
        <v>164.575221238938</v>
      </c>
      <c r="Q144" s="214">
        <f t="shared" si="30"/>
        <v>329.150442477876</v>
      </c>
      <c r="R144" s="215">
        <f t="shared" si="31"/>
        <v>0.03</v>
      </c>
      <c r="S144" s="216">
        <f t="shared" si="36"/>
        <v>0.17993878044846</v>
      </c>
      <c r="T144" s="217">
        <f t="shared" si="33"/>
        <v>0.22</v>
      </c>
      <c r="U144" s="218">
        <v>0.06</v>
      </c>
      <c r="V144" s="219">
        <f t="shared" si="28"/>
        <v>0.19</v>
      </c>
      <c r="Z144" s="240" t="s">
        <v>506</v>
      </c>
    </row>
    <row r="145" customHeight="1" spans="3:26">
      <c r="C145" s="183" t="s">
        <v>361</v>
      </c>
      <c r="D145" s="184" t="s">
        <v>98</v>
      </c>
      <c r="E145" s="184" t="s">
        <v>346</v>
      </c>
      <c r="F145" s="184" t="s">
        <v>347</v>
      </c>
      <c r="G145" s="230"/>
      <c r="H145" s="231">
        <v>45345</v>
      </c>
      <c r="I145" s="193" t="s">
        <v>367</v>
      </c>
      <c r="J145" s="232" t="s">
        <v>508</v>
      </c>
      <c r="K145" s="233">
        <v>9</v>
      </c>
      <c r="L145" s="234">
        <v>6566.23</v>
      </c>
      <c r="M145" s="235">
        <v>7127.43362831858</v>
      </c>
      <c r="N145" s="195">
        <f t="shared" si="34"/>
        <v>561.203628318585</v>
      </c>
      <c r="O145" s="196">
        <f t="shared" si="29"/>
        <v>0.0787385274397816</v>
      </c>
      <c r="P145" s="195">
        <f t="shared" si="35"/>
        <v>213.823008849558</v>
      </c>
      <c r="Q145" s="214">
        <f t="shared" si="30"/>
        <v>1924.40707964602</v>
      </c>
      <c r="R145" s="215">
        <f t="shared" si="31"/>
        <v>0.03</v>
      </c>
      <c r="S145" s="216">
        <f t="shared" si="36"/>
        <v>0.0487385274397816</v>
      </c>
      <c r="T145" s="217">
        <f t="shared" si="33"/>
        <v>0.22</v>
      </c>
      <c r="U145" s="218">
        <v>0.06</v>
      </c>
      <c r="V145" s="219">
        <f t="shared" si="28"/>
        <v>0.19</v>
      </c>
      <c r="Z145" s="240" t="s">
        <v>506</v>
      </c>
    </row>
    <row r="146" customHeight="1" spans="3:26">
      <c r="C146" s="183" t="s">
        <v>361</v>
      </c>
      <c r="D146" s="184" t="s">
        <v>98</v>
      </c>
      <c r="E146" s="184" t="s">
        <v>346</v>
      </c>
      <c r="F146" s="184" t="s">
        <v>347</v>
      </c>
      <c r="G146" s="230"/>
      <c r="H146" s="231">
        <v>45348</v>
      </c>
      <c r="I146" s="7"/>
      <c r="J146" s="232" t="s">
        <v>509</v>
      </c>
      <c r="K146" s="233">
        <v>1</v>
      </c>
      <c r="L146" s="234">
        <v>477.88</v>
      </c>
      <c r="M146" s="235">
        <v>530.973451327434</v>
      </c>
      <c r="N146" s="195">
        <f t="shared" si="34"/>
        <v>53.0934513274336</v>
      </c>
      <c r="O146" s="196">
        <f t="shared" si="29"/>
        <v>0.0999926666666667</v>
      </c>
      <c r="P146" s="195">
        <f t="shared" si="35"/>
        <v>15.929203539823</v>
      </c>
      <c r="Q146" s="214">
        <f t="shared" si="30"/>
        <v>15.929203539823</v>
      </c>
      <c r="R146" s="215">
        <f t="shared" si="31"/>
        <v>0.03</v>
      </c>
      <c r="S146" s="216">
        <f t="shared" si="36"/>
        <v>0.0699926666666667</v>
      </c>
      <c r="T146" s="217">
        <f t="shared" si="33"/>
        <v>0.22</v>
      </c>
      <c r="U146" s="218">
        <v>0.06</v>
      </c>
      <c r="V146" s="219">
        <f t="shared" si="28"/>
        <v>0.19</v>
      </c>
      <c r="Z146" s="240" t="s">
        <v>510</v>
      </c>
    </row>
    <row r="147" customHeight="1" spans="3:26">
      <c r="C147" s="183" t="s">
        <v>361</v>
      </c>
      <c r="D147" s="184" t="s">
        <v>98</v>
      </c>
      <c r="E147" s="184" t="s">
        <v>346</v>
      </c>
      <c r="F147" s="184" t="s">
        <v>347</v>
      </c>
      <c r="G147" s="230"/>
      <c r="H147" s="231">
        <v>45349</v>
      </c>
      <c r="I147" s="193" t="s">
        <v>367</v>
      </c>
      <c r="J147" s="232" t="s">
        <v>511</v>
      </c>
      <c r="K147" s="233">
        <v>1</v>
      </c>
      <c r="L147" s="234">
        <v>7644.66</v>
      </c>
      <c r="M147" s="235">
        <v>8156.63716814159</v>
      </c>
      <c r="N147" s="195">
        <f t="shared" si="34"/>
        <v>511.977168141594</v>
      </c>
      <c r="O147" s="196">
        <f t="shared" si="29"/>
        <v>0.0627681675165457</v>
      </c>
      <c r="P147" s="195">
        <f t="shared" si="35"/>
        <v>244.699115044248</v>
      </c>
      <c r="Q147" s="214">
        <f t="shared" si="30"/>
        <v>244.699115044248</v>
      </c>
      <c r="R147" s="215">
        <f t="shared" si="31"/>
        <v>0.03</v>
      </c>
      <c r="S147" s="216">
        <f t="shared" si="36"/>
        <v>0.0327681675165457</v>
      </c>
      <c r="T147" s="217">
        <f t="shared" si="33"/>
        <v>0.22</v>
      </c>
      <c r="U147" s="218">
        <v>0.06</v>
      </c>
      <c r="V147" s="219">
        <f t="shared" si="28"/>
        <v>0.19</v>
      </c>
      <c r="Z147" s="240" t="s">
        <v>512</v>
      </c>
    </row>
    <row r="148" customHeight="1" spans="3:26">
      <c r="C148" s="183" t="s">
        <v>361</v>
      </c>
      <c r="D148" s="184" t="s">
        <v>98</v>
      </c>
      <c r="E148" s="184" t="s">
        <v>346</v>
      </c>
      <c r="F148" s="184" t="s">
        <v>347</v>
      </c>
      <c r="G148" s="230"/>
      <c r="H148" s="231">
        <v>45349</v>
      </c>
      <c r="I148" s="193" t="s">
        <v>367</v>
      </c>
      <c r="J148" s="232" t="s">
        <v>513</v>
      </c>
      <c r="K148" s="233">
        <v>1</v>
      </c>
      <c r="L148" s="234">
        <v>5083</v>
      </c>
      <c r="M148" s="235">
        <v>5361.94690265487</v>
      </c>
      <c r="N148" s="197">
        <f t="shared" si="34"/>
        <v>278.946902654868</v>
      </c>
      <c r="O148" s="196">
        <f t="shared" si="29"/>
        <v>0.0520234362105959</v>
      </c>
      <c r="P148" s="195">
        <f t="shared" si="35"/>
        <v>160.858407079646</v>
      </c>
      <c r="Q148" s="214">
        <f t="shared" si="30"/>
        <v>160.858407079646</v>
      </c>
      <c r="R148" s="215">
        <f t="shared" si="31"/>
        <v>0.03</v>
      </c>
      <c r="S148" s="216">
        <f t="shared" si="36"/>
        <v>0.0220234362105959</v>
      </c>
      <c r="T148" s="217">
        <f t="shared" si="33"/>
        <v>0.22</v>
      </c>
      <c r="U148" s="218">
        <v>0.06</v>
      </c>
      <c r="V148" s="219">
        <f t="shared" ref="V148:V176" si="37">IF(T148-U148+R148&gt;0,T148-U148+R148,IF(T148-U148+R148=0,""))</f>
        <v>0.19</v>
      </c>
      <c r="Z148" s="240" t="s">
        <v>514</v>
      </c>
    </row>
    <row r="149" customHeight="1" spans="3:26">
      <c r="C149" s="183" t="s">
        <v>361</v>
      </c>
      <c r="D149" s="184" t="s">
        <v>98</v>
      </c>
      <c r="E149" s="184" t="s">
        <v>346</v>
      </c>
      <c r="F149" s="184" t="s">
        <v>347</v>
      </c>
      <c r="G149" s="230"/>
      <c r="H149" s="231">
        <v>45350</v>
      </c>
      <c r="I149" s="193" t="s">
        <v>367</v>
      </c>
      <c r="J149" s="232" t="s">
        <v>515</v>
      </c>
      <c r="K149" s="233">
        <v>1</v>
      </c>
      <c r="L149" s="234">
        <v>5657.15</v>
      </c>
      <c r="M149" s="235">
        <v>7389.38053097345</v>
      </c>
      <c r="N149" s="195">
        <f t="shared" si="34"/>
        <v>1732.23053097345</v>
      </c>
      <c r="O149" s="196">
        <f t="shared" ref="O149:O176" si="38">IF(AND($N149&lt;&gt;0,$M149&lt;&gt;0),$N149/$M149,"")</f>
        <v>0.234421616766467</v>
      </c>
      <c r="P149" s="195">
        <f t="shared" si="35"/>
        <v>221.681415929204</v>
      </c>
      <c r="Q149" s="214">
        <f t="shared" ref="Q149:Q176" si="39">P149*K149</f>
        <v>221.681415929204</v>
      </c>
      <c r="R149" s="215">
        <f t="shared" ref="R149:R176" si="40">IF(AND($P149&lt;&gt;0,$M149&lt;&gt;0),$P149/$M149,"")</f>
        <v>0.03</v>
      </c>
      <c r="S149" s="216">
        <f t="shared" si="36"/>
        <v>0.204421616766467</v>
      </c>
      <c r="T149" s="217">
        <f t="shared" ref="T149:T176" si="41">IF($C149="深圳福达通",22%,IF($C149="康为",26%,IF($C149="新浪潮",26%,IF($C149="湖南飞英达",25%,IF($C149="志奋领",26%)))))</f>
        <v>0.22</v>
      </c>
      <c r="U149" s="218">
        <v>0.06</v>
      </c>
      <c r="V149" s="219">
        <f t="shared" si="37"/>
        <v>0.19</v>
      </c>
      <c r="Z149" s="240" t="s">
        <v>516</v>
      </c>
    </row>
    <row r="150" customHeight="1" spans="3:26">
      <c r="C150" s="183" t="s">
        <v>361</v>
      </c>
      <c r="D150" s="184" t="s">
        <v>98</v>
      </c>
      <c r="E150" s="184" t="s">
        <v>346</v>
      </c>
      <c r="F150" s="184" t="s">
        <v>347</v>
      </c>
      <c r="G150" s="230"/>
      <c r="H150" s="231">
        <v>45351</v>
      </c>
      <c r="I150" s="193" t="s">
        <v>367</v>
      </c>
      <c r="J150" s="232" t="s">
        <v>389</v>
      </c>
      <c r="K150" s="233">
        <v>1</v>
      </c>
      <c r="L150" s="195">
        <v>318.58407079646</v>
      </c>
      <c r="M150" s="235">
        <v>389.380530973451</v>
      </c>
      <c r="N150" s="195">
        <f t="shared" si="34"/>
        <v>70.7964601769913</v>
      </c>
      <c r="O150" s="196">
        <f t="shared" si="38"/>
        <v>0.181818181818182</v>
      </c>
      <c r="P150" s="195">
        <f t="shared" si="35"/>
        <v>11.6814159292035</v>
      </c>
      <c r="Q150" s="214">
        <f t="shared" si="39"/>
        <v>11.6814159292035</v>
      </c>
      <c r="R150" s="215">
        <f t="shared" si="40"/>
        <v>0.03</v>
      </c>
      <c r="S150" s="216">
        <f t="shared" si="36"/>
        <v>0.151818181818182</v>
      </c>
      <c r="T150" s="217">
        <f t="shared" si="41"/>
        <v>0.22</v>
      </c>
      <c r="U150" s="218">
        <v>0.06</v>
      </c>
      <c r="V150" s="219">
        <f t="shared" si="37"/>
        <v>0.19</v>
      </c>
      <c r="Z150" s="240" t="s">
        <v>517</v>
      </c>
    </row>
    <row r="151" customHeight="1" spans="3:26">
      <c r="C151" s="183" t="s">
        <v>361</v>
      </c>
      <c r="D151" s="184" t="s">
        <v>98</v>
      </c>
      <c r="E151" s="184" t="s">
        <v>346</v>
      </c>
      <c r="F151" s="184" t="s">
        <v>347</v>
      </c>
      <c r="G151" s="230"/>
      <c r="H151" s="231">
        <v>45352</v>
      </c>
      <c r="I151" s="193" t="s">
        <v>367</v>
      </c>
      <c r="J151" s="232" t="s">
        <v>518</v>
      </c>
      <c r="K151" s="233">
        <v>7</v>
      </c>
      <c r="L151" s="234">
        <v>2124.67</v>
      </c>
      <c r="M151" s="235">
        <v>2831.85840707965</v>
      </c>
      <c r="N151" s="195">
        <f t="shared" si="34"/>
        <v>707.188407079646</v>
      </c>
      <c r="O151" s="196">
        <f t="shared" si="38"/>
        <v>0.24972590625</v>
      </c>
      <c r="P151" s="195">
        <f t="shared" si="35"/>
        <v>84.9557522123894</v>
      </c>
      <c r="Q151" s="214">
        <f t="shared" si="39"/>
        <v>594.690265486726</v>
      </c>
      <c r="R151" s="215">
        <f t="shared" si="40"/>
        <v>0.03</v>
      </c>
      <c r="S151" s="216">
        <f t="shared" si="36"/>
        <v>0.21972590625</v>
      </c>
      <c r="T151" s="217">
        <f t="shared" si="41"/>
        <v>0.22</v>
      </c>
      <c r="U151" s="218">
        <v>0.06</v>
      </c>
      <c r="V151" s="219">
        <f t="shared" si="37"/>
        <v>0.19</v>
      </c>
      <c r="Z151" s="240" t="s">
        <v>519</v>
      </c>
    </row>
    <row r="152" customHeight="1" spans="3:26">
      <c r="C152" s="183" t="s">
        <v>361</v>
      </c>
      <c r="D152" s="184" t="s">
        <v>98</v>
      </c>
      <c r="E152" s="184" t="s">
        <v>346</v>
      </c>
      <c r="F152" s="184" t="s">
        <v>347</v>
      </c>
      <c r="G152" s="230"/>
      <c r="H152" s="231">
        <v>45358</v>
      </c>
      <c r="I152" s="193" t="s">
        <v>367</v>
      </c>
      <c r="J152" s="232" t="s">
        <v>389</v>
      </c>
      <c r="K152" s="233">
        <v>1</v>
      </c>
      <c r="L152" s="195">
        <v>318.58407079646</v>
      </c>
      <c r="M152" s="235">
        <v>389.380530973451</v>
      </c>
      <c r="N152" s="195">
        <f t="shared" si="34"/>
        <v>70.7964601769913</v>
      </c>
      <c r="O152" s="196">
        <f t="shared" si="38"/>
        <v>0.181818181818182</v>
      </c>
      <c r="P152" s="195">
        <f t="shared" si="35"/>
        <v>11.6814159292035</v>
      </c>
      <c r="Q152" s="214">
        <f t="shared" si="39"/>
        <v>11.6814159292035</v>
      </c>
      <c r="R152" s="215">
        <f t="shared" si="40"/>
        <v>0.03</v>
      </c>
      <c r="S152" s="216">
        <f t="shared" si="36"/>
        <v>0.151818181818182</v>
      </c>
      <c r="T152" s="217">
        <f t="shared" si="41"/>
        <v>0.22</v>
      </c>
      <c r="U152" s="218">
        <v>0.06</v>
      </c>
      <c r="V152" s="219">
        <f t="shared" si="37"/>
        <v>0.19</v>
      </c>
      <c r="Z152" s="240" t="s">
        <v>520</v>
      </c>
    </row>
    <row r="153" customHeight="1" spans="3:26">
      <c r="C153" s="183" t="s">
        <v>361</v>
      </c>
      <c r="D153" s="184" t="s">
        <v>98</v>
      </c>
      <c r="E153" s="184" t="s">
        <v>346</v>
      </c>
      <c r="F153" s="184" t="s">
        <v>347</v>
      </c>
      <c r="G153" s="230"/>
      <c r="H153" s="231">
        <v>45363</v>
      </c>
      <c r="I153" s="193" t="s">
        <v>367</v>
      </c>
      <c r="J153" s="232" t="s">
        <v>389</v>
      </c>
      <c r="K153" s="233">
        <v>3</v>
      </c>
      <c r="L153" s="195">
        <v>318.58407079646</v>
      </c>
      <c r="M153" s="235">
        <v>343.362831858407</v>
      </c>
      <c r="N153" s="195">
        <f t="shared" si="34"/>
        <v>24.7787610619471</v>
      </c>
      <c r="O153" s="196">
        <f t="shared" si="38"/>
        <v>0.0721649484536088</v>
      </c>
      <c r="P153" s="195">
        <f t="shared" si="35"/>
        <v>10.3008849557522</v>
      </c>
      <c r="Q153" s="214">
        <f t="shared" si="39"/>
        <v>30.9026548672566</v>
      </c>
      <c r="R153" s="215">
        <f t="shared" si="40"/>
        <v>0.03</v>
      </c>
      <c r="S153" s="216">
        <f t="shared" si="36"/>
        <v>0.0421649484536088</v>
      </c>
      <c r="T153" s="217">
        <f t="shared" si="41"/>
        <v>0.22</v>
      </c>
      <c r="U153" s="218">
        <v>0.06</v>
      </c>
      <c r="V153" s="219">
        <f t="shared" si="37"/>
        <v>0.19</v>
      </c>
      <c r="Z153" s="240" t="s">
        <v>521</v>
      </c>
    </row>
    <row r="154" customHeight="1" spans="3:26">
      <c r="C154" s="183" t="s">
        <v>361</v>
      </c>
      <c r="D154" s="184" t="s">
        <v>98</v>
      </c>
      <c r="E154" s="184" t="s">
        <v>346</v>
      </c>
      <c r="F154" s="184" t="s">
        <v>347</v>
      </c>
      <c r="G154" s="230"/>
      <c r="H154" s="231">
        <v>45366</v>
      </c>
      <c r="I154" s="193" t="s">
        <v>367</v>
      </c>
      <c r="J154" s="232" t="s">
        <v>389</v>
      </c>
      <c r="K154" s="233">
        <v>3</v>
      </c>
      <c r="L154" s="195">
        <v>318.58407079646</v>
      </c>
      <c r="M154" s="235">
        <v>343.362831858407</v>
      </c>
      <c r="N154" s="195">
        <f t="shared" si="34"/>
        <v>24.7787610619471</v>
      </c>
      <c r="O154" s="196">
        <f t="shared" si="38"/>
        <v>0.0721649484536088</v>
      </c>
      <c r="P154" s="195">
        <f t="shared" si="35"/>
        <v>10.3008849557522</v>
      </c>
      <c r="Q154" s="214">
        <f t="shared" si="39"/>
        <v>30.9026548672566</v>
      </c>
      <c r="R154" s="215">
        <f t="shared" si="40"/>
        <v>0.03</v>
      </c>
      <c r="S154" s="216">
        <f t="shared" si="36"/>
        <v>0.0421649484536088</v>
      </c>
      <c r="T154" s="217">
        <f t="shared" si="41"/>
        <v>0.22</v>
      </c>
      <c r="U154" s="218">
        <v>0.06</v>
      </c>
      <c r="V154" s="219">
        <f t="shared" si="37"/>
        <v>0.19</v>
      </c>
      <c r="Z154" s="240" t="s">
        <v>522</v>
      </c>
    </row>
    <row r="155" customHeight="1" spans="3:26">
      <c r="C155" s="183" t="s">
        <v>361</v>
      </c>
      <c r="D155" s="184" t="s">
        <v>98</v>
      </c>
      <c r="E155" s="184" t="s">
        <v>346</v>
      </c>
      <c r="F155" s="184" t="s">
        <v>347</v>
      </c>
      <c r="G155" s="230"/>
      <c r="H155" s="231">
        <v>45371</v>
      </c>
      <c r="I155" s="193" t="s">
        <v>367</v>
      </c>
      <c r="J155" s="232" t="s">
        <v>523</v>
      </c>
      <c r="K155" s="233">
        <v>2</v>
      </c>
      <c r="L155" s="234">
        <v>4926.74</v>
      </c>
      <c r="M155" s="235">
        <v>5853.98230088496</v>
      </c>
      <c r="N155" s="195">
        <f t="shared" si="34"/>
        <v>927.242300884956</v>
      </c>
      <c r="O155" s="196">
        <f t="shared" si="38"/>
        <v>0.158395132275132</v>
      </c>
      <c r="P155" s="195">
        <f t="shared" si="35"/>
        <v>175.619469026549</v>
      </c>
      <c r="Q155" s="214">
        <f t="shared" si="39"/>
        <v>351.238938053097</v>
      </c>
      <c r="R155" s="215">
        <f t="shared" si="40"/>
        <v>0.03</v>
      </c>
      <c r="S155" s="216">
        <f t="shared" si="36"/>
        <v>0.128395132275132</v>
      </c>
      <c r="T155" s="217">
        <f t="shared" si="41"/>
        <v>0.22</v>
      </c>
      <c r="U155" s="218">
        <v>0.06</v>
      </c>
      <c r="V155" s="219">
        <f t="shared" si="37"/>
        <v>0.19</v>
      </c>
      <c r="Z155" s="240" t="s">
        <v>524</v>
      </c>
    </row>
    <row r="156" customHeight="1" spans="3:26">
      <c r="C156" s="183" t="s">
        <v>361</v>
      </c>
      <c r="D156" s="184" t="s">
        <v>98</v>
      </c>
      <c r="E156" s="184" t="s">
        <v>346</v>
      </c>
      <c r="F156" s="184" t="s">
        <v>347</v>
      </c>
      <c r="G156" s="230"/>
      <c r="H156" s="231">
        <v>45371</v>
      </c>
      <c r="I156" s="193" t="s">
        <v>367</v>
      </c>
      <c r="J156" s="244" t="s">
        <v>525</v>
      </c>
      <c r="K156" s="233">
        <v>2</v>
      </c>
      <c r="L156" s="195">
        <v>318.58407079646</v>
      </c>
      <c r="M156" s="235">
        <v>343.362831858407</v>
      </c>
      <c r="N156" s="195">
        <f t="shared" si="34"/>
        <v>24.7787610619471</v>
      </c>
      <c r="O156" s="196">
        <f t="shared" si="38"/>
        <v>0.0721649484536088</v>
      </c>
      <c r="P156" s="195">
        <f t="shared" si="35"/>
        <v>10.3008849557522</v>
      </c>
      <c r="Q156" s="214">
        <f t="shared" si="39"/>
        <v>20.6017699115044</v>
      </c>
      <c r="R156" s="215">
        <f t="shared" si="40"/>
        <v>0.03</v>
      </c>
      <c r="S156" s="216">
        <f t="shared" si="36"/>
        <v>0.0421649484536088</v>
      </c>
      <c r="T156" s="217">
        <f t="shared" si="41"/>
        <v>0.22</v>
      </c>
      <c r="U156" s="218">
        <v>0.06</v>
      </c>
      <c r="V156" s="219">
        <f t="shared" si="37"/>
        <v>0.19</v>
      </c>
      <c r="Z156" s="240" t="s">
        <v>524</v>
      </c>
    </row>
    <row r="157" customHeight="1" spans="3:26">
      <c r="C157" s="183" t="s">
        <v>361</v>
      </c>
      <c r="D157" s="184" t="s">
        <v>98</v>
      </c>
      <c r="E157" s="184" t="s">
        <v>346</v>
      </c>
      <c r="F157" s="184" t="s">
        <v>347</v>
      </c>
      <c r="G157" s="241"/>
      <c r="H157" s="231">
        <v>45372</v>
      </c>
      <c r="I157" s="193" t="s">
        <v>367</v>
      </c>
      <c r="J157" s="244" t="s">
        <v>525</v>
      </c>
      <c r="K157" s="233">
        <v>4</v>
      </c>
      <c r="L157" s="195">
        <v>318.58407079646</v>
      </c>
      <c r="M157" s="235">
        <v>343.362831858407</v>
      </c>
      <c r="N157" s="195">
        <f t="shared" si="34"/>
        <v>24.7787610619471</v>
      </c>
      <c r="O157" s="196">
        <f t="shared" si="38"/>
        <v>0.0721649484536088</v>
      </c>
      <c r="P157" s="195">
        <f t="shared" si="35"/>
        <v>10.3008849557522</v>
      </c>
      <c r="Q157" s="214">
        <f t="shared" si="39"/>
        <v>41.2035398230089</v>
      </c>
      <c r="R157" s="215">
        <f t="shared" si="40"/>
        <v>0.03</v>
      </c>
      <c r="S157" s="216">
        <f t="shared" ref="S157:S176" si="42">IF(AND(($N157*$K157-$Q157)&lt;&gt;0,($M157*$K157)&lt;&gt;0),($N157*$K157-$Q157)/($M157*$K157),"")</f>
        <v>0.0421649484536088</v>
      </c>
      <c r="T157" s="217">
        <f t="shared" si="41"/>
        <v>0.22</v>
      </c>
      <c r="U157" s="218">
        <v>0.06</v>
      </c>
      <c r="V157" s="219">
        <f t="shared" si="37"/>
        <v>0.19</v>
      </c>
      <c r="Z157" s="240" t="s">
        <v>526</v>
      </c>
    </row>
    <row r="158" customHeight="1" spans="3:26">
      <c r="C158" s="183" t="s">
        <v>361</v>
      </c>
      <c r="D158" s="184" t="s">
        <v>98</v>
      </c>
      <c r="E158" s="184" t="s">
        <v>346</v>
      </c>
      <c r="F158" s="184" t="s">
        <v>347</v>
      </c>
      <c r="G158" s="241"/>
      <c r="H158" s="231">
        <v>45372</v>
      </c>
      <c r="I158" s="236" t="s">
        <v>367</v>
      </c>
      <c r="J158" s="232" t="s">
        <v>445</v>
      </c>
      <c r="K158" s="233">
        <v>1</v>
      </c>
      <c r="L158" s="234">
        <v>557.52</v>
      </c>
      <c r="M158" s="235">
        <v>730.09</v>
      </c>
      <c r="N158" s="195">
        <f t="shared" si="34"/>
        <v>172.57</v>
      </c>
      <c r="O158" s="196">
        <f t="shared" si="38"/>
        <v>0.236368118999028</v>
      </c>
      <c r="P158" s="195">
        <f t="shared" si="35"/>
        <v>21.9027</v>
      </c>
      <c r="Q158" s="214">
        <f t="shared" si="39"/>
        <v>21.9027</v>
      </c>
      <c r="R158" s="215">
        <f t="shared" si="40"/>
        <v>0.03</v>
      </c>
      <c r="S158" s="216">
        <f t="shared" si="42"/>
        <v>0.206368118999028</v>
      </c>
      <c r="T158" s="217">
        <f t="shared" si="41"/>
        <v>0.22</v>
      </c>
      <c r="U158" s="218">
        <v>0.06</v>
      </c>
      <c r="V158" s="219">
        <f t="shared" si="37"/>
        <v>0.19</v>
      </c>
      <c r="Z158" s="240" t="s">
        <v>527</v>
      </c>
    </row>
    <row r="159" customHeight="1" spans="3:26">
      <c r="C159" s="183" t="s">
        <v>361</v>
      </c>
      <c r="D159" s="184" t="s">
        <v>98</v>
      </c>
      <c r="E159" s="184" t="s">
        <v>346</v>
      </c>
      <c r="F159" s="4" t="s">
        <v>528</v>
      </c>
      <c r="G159" s="230"/>
      <c r="H159" s="231">
        <v>45374</v>
      </c>
      <c r="I159" s="193" t="s">
        <v>460</v>
      </c>
      <c r="J159" s="232" t="s">
        <v>529</v>
      </c>
      <c r="K159" s="233">
        <v>48</v>
      </c>
      <c r="L159" s="184">
        <v>128.95</v>
      </c>
      <c r="M159" s="233">
        <v>139.823008849558</v>
      </c>
      <c r="N159" s="195">
        <f t="shared" si="34"/>
        <v>10.8730088495576</v>
      </c>
      <c r="O159" s="196">
        <f t="shared" si="38"/>
        <v>0.0777626582278483</v>
      </c>
      <c r="P159" s="195">
        <f t="shared" si="35"/>
        <v>4.19469026548673</v>
      </c>
      <c r="Q159" s="214">
        <f t="shared" si="39"/>
        <v>201.345132743363</v>
      </c>
      <c r="R159" s="215">
        <f t="shared" si="40"/>
        <v>0.03</v>
      </c>
      <c r="S159" s="216">
        <f t="shared" si="42"/>
        <v>0.0477626582278483</v>
      </c>
      <c r="T159" s="217">
        <f t="shared" si="41"/>
        <v>0.22</v>
      </c>
      <c r="U159" s="218">
        <v>0.06</v>
      </c>
      <c r="V159" s="219">
        <f t="shared" si="37"/>
        <v>0.19</v>
      </c>
      <c r="Z159" s="240" t="s">
        <v>530</v>
      </c>
    </row>
    <row r="160" customHeight="1" spans="3:26">
      <c r="C160" s="183" t="s">
        <v>361</v>
      </c>
      <c r="D160" s="184" t="s">
        <v>98</v>
      </c>
      <c r="E160" s="184" t="s">
        <v>346</v>
      </c>
      <c r="F160" s="4" t="s">
        <v>528</v>
      </c>
      <c r="G160" s="230"/>
      <c r="H160" s="231">
        <v>45374</v>
      </c>
      <c r="I160" s="193" t="s">
        <v>460</v>
      </c>
      <c r="J160" s="232" t="s">
        <v>531</v>
      </c>
      <c r="K160" s="233">
        <v>28</v>
      </c>
      <c r="L160" s="4">
        <v>1001.27</v>
      </c>
      <c r="M160" s="233">
        <v>1955.75221238938</v>
      </c>
      <c r="N160" s="195">
        <f t="shared" si="34"/>
        <v>954.482212389381</v>
      </c>
      <c r="O160" s="196">
        <f t="shared" si="38"/>
        <v>0.488038416289593</v>
      </c>
      <c r="P160" s="195">
        <f t="shared" si="35"/>
        <v>58.6725663716814</v>
      </c>
      <c r="Q160" s="214">
        <f t="shared" si="39"/>
        <v>1642.83185840708</v>
      </c>
      <c r="R160" s="215">
        <f t="shared" si="40"/>
        <v>0.03</v>
      </c>
      <c r="S160" s="216">
        <f t="shared" si="42"/>
        <v>0.458038416289593</v>
      </c>
      <c r="T160" s="217">
        <f t="shared" si="41"/>
        <v>0.22</v>
      </c>
      <c r="U160" s="218">
        <v>0.06</v>
      </c>
      <c r="V160" s="219">
        <f t="shared" si="37"/>
        <v>0.19</v>
      </c>
      <c r="Z160" s="240" t="s">
        <v>530</v>
      </c>
    </row>
    <row r="161" customHeight="1" spans="3:26">
      <c r="C161" s="183" t="s">
        <v>361</v>
      </c>
      <c r="D161" s="184" t="s">
        <v>98</v>
      </c>
      <c r="E161" s="184" t="s">
        <v>346</v>
      </c>
      <c r="F161" s="4" t="s">
        <v>528</v>
      </c>
      <c r="G161" s="230"/>
      <c r="H161" s="231">
        <v>45374</v>
      </c>
      <c r="I161" s="193" t="s">
        <v>460</v>
      </c>
      <c r="J161" s="232" t="s">
        <v>532</v>
      </c>
      <c r="K161" s="233">
        <v>8</v>
      </c>
      <c r="L161" s="184">
        <v>6652.34</v>
      </c>
      <c r="M161" s="233">
        <v>8402.65486725664</v>
      </c>
      <c r="N161" s="195">
        <f t="shared" si="34"/>
        <v>1750.31486725664</v>
      </c>
      <c r="O161" s="196">
        <f t="shared" si="38"/>
        <v>0.208304981569247</v>
      </c>
      <c r="P161" s="195">
        <f t="shared" si="35"/>
        <v>252.079646017699</v>
      </c>
      <c r="Q161" s="214">
        <f t="shared" si="39"/>
        <v>2016.63716814159</v>
      </c>
      <c r="R161" s="215">
        <f t="shared" si="40"/>
        <v>0.03</v>
      </c>
      <c r="S161" s="216">
        <f t="shared" si="42"/>
        <v>0.178304981569247</v>
      </c>
      <c r="T161" s="217">
        <f t="shared" si="41"/>
        <v>0.22</v>
      </c>
      <c r="U161" s="218">
        <v>0.06</v>
      </c>
      <c r="V161" s="219">
        <f t="shared" si="37"/>
        <v>0.19</v>
      </c>
      <c r="Z161" s="240" t="s">
        <v>530</v>
      </c>
    </row>
    <row r="162" customHeight="1" spans="3:26">
      <c r="C162" s="183" t="s">
        <v>361</v>
      </c>
      <c r="D162" s="184" t="s">
        <v>98</v>
      </c>
      <c r="E162" s="184" t="s">
        <v>346</v>
      </c>
      <c r="F162" s="184" t="s">
        <v>347</v>
      </c>
      <c r="G162" s="230"/>
      <c r="H162" s="231">
        <v>45378</v>
      </c>
      <c r="I162" s="238" t="s">
        <v>367</v>
      </c>
      <c r="J162" s="232" t="s">
        <v>533</v>
      </c>
      <c r="K162" s="233">
        <v>1</v>
      </c>
      <c r="L162" s="234">
        <v>5112.68</v>
      </c>
      <c r="M162" s="235">
        <v>5853.98</v>
      </c>
      <c r="N162" s="195">
        <f t="shared" si="34"/>
        <v>741.299999999999</v>
      </c>
      <c r="O162" s="196">
        <f t="shared" si="38"/>
        <v>0.12663179580388</v>
      </c>
      <c r="P162" s="195">
        <f t="shared" si="35"/>
        <v>175.6194</v>
      </c>
      <c r="Q162" s="214">
        <f t="shared" si="39"/>
        <v>175.6194</v>
      </c>
      <c r="R162" s="215">
        <f t="shared" si="40"/>
        <v>0.03</v>
      </c>
      <c r="S162" s="216">
        <f t="shared" si="42"/>
        <v>0.0966317958038803</v>
      </c>
      <c r="T162" s="217">
        <f t="shared" si="41"/>
        <v>0.22</v>
      </c>
      <c r="U162" s="218">
        <v>0.06</v>
      </c>
      <c r="V162" s="219">
        <f t="shared" si="37"/>
        <v>0.19</v>
      </c>
      <c r="Z162" s="240" t="s">
        <v>534</v>
      </c>
    </row>
    <row r="163" customHeight="1" spans="3:26">
      <c r="C163" s="183" t="s">
        <v>361</v>
      </c>
      <c r="D163" s="184" t="s">
        <v>98</v>
      </c>
      <c r="E163" s="184" t="s">
        <v>346</v>
      </c>
      <c r="F163" s="184" t="s">
        <v>347</v>
      </c>
      <c r="G163" s="230"/>
      <c r="H163" s="231">
        <v>45378</v>
      </c>
      <c r="I163" s="193" t="s">
        <v>367</v>
      </c>
      <c r="J163" s="232" t="s">
        <v>389</v>
      </c>
      <c r="K163" s="233">
        <v>1</v>
      </c>
      <c r="L163" s="195">
        <v>300.8</v>
      </c>
      <c r="M163" s="235">
        <v>343.36</v>
      </c>
      <c r="N163" s="195">
        <f t="shared" si="34"/>
        <v>42.56</v>
      </c>
      <c r="O163" s="196">
        <f t="shared" si="38"/>
        <v>0.123951537744641</v>
      </c>
      <c r="P163" s="195">
        <f t="shared" si="35"/>
        <v>10.3008</v>
      </c>
      <c r="Q163" s="214">
        <f t="shared" si="39"/>
        <v>10.3008</v>
      </c>
      <c r="R163" s="215">
        <f t="shared" si="40"/>
        <v>0.03</v>
      </c>
      <c r="S163" s="216">
        <f t="shared" si="42"/>
        <v>0.0939515377446412</v>
      </c>
      <c r="T163" s="217">
        <f t="shared" si="41"/>
        <v>0.22</v>
      </c>
      <c r="U163" s="218">
        <v>0.06</v>
      </c>
      <c r="V163" s="219">
        <f t="shared" si="37"/>
        <v>0.19</v>
      </c>
      <c r="Z163" s="240" t="s">
        <v>534</v>
      </c>
    </row>
    <row r="164" customHeight="1" spans="3:26">
      <c r="C164" s="183" t="s">
        <v>361</v>
      </c>
      <c r="D164" s="184" t="s">
        <v>98</v>
      </c>
      <c r="E164" s="184" t="s">
        <v>346</v>
      </c>
      <c r="F164" s="184" t="s">
        <v>347</v>
      </c>
      <c r="G164" s="230"/>
      <c r="H164" s="231">
        <v>45378</v>
      </c>
      <c r="I164" s="193" t="s">
        <v>367</v>
      </c>
      <c r="J164" s="232" t="s">
        <v>535</v>
      </c>
      <c r="K164" s="233">
        <v>1</v>
      </c>
      <c r="L164" s="234">
        <v>4576.88</v>
      </c>
      <c r="M164" s="235">
        <v>5044.25</v>
      </c>
      <c r="N164" s="195">
        <f t="shared" si="34"/>
        <v>467.37</v>
      </c>
      <c r="O164" s="196">
        <f t="shared" si="38"/>
        <v>0.0926540119938544</v>
      </c>
      <c r="P164" s="195">
        <f t="shared" si="35"/>
        <v>151.3275</v>
      </c>
      <c r="Q164" s="214">
        <f t="shared" si="39"/>
        <v>151.3275</v>
      </c>
      <c r="R164" s="215">
        <f t="shared" si="40"/>
        <v>0.03</v>
      </c>
      <c r="S164" s="216">
        <f t="shared" si="42"/>
        <v>0.0626540119938544</v>
      </c>
      <c r="T164" s="217">
        <f t="shared" si="41"/>
        <v>0.22</v>
      </c>
      <c r="U164" s="218">
        <v>0.06</v>
      </c>
      <c r="V164" s="219">
        <f t="shared" si="37"/>
        <v>0.19</v>
      </c>
      <c r="Z164" s="240" t="s">
        <v>536</v>
      </c>
    </row>
    <row r="165" customHeight="1" spans="3:26">
      <c r="C165" s="183" t="s">
        <v>361</v>
      </c>
      <c r="D165" s="184" t="s">
        <v>98</v>
      </c>
      <c r="E165" s="184" t="s">
        <v>346</v>
      </c>
      <c r="F165" s="184" t="s">
        <v>347</v>
      </c>
      <c r="G165" s="230"/>
      <c r="H165" s="231">
        <v>45380</v>
      </c>
      <c r="I165" s="193" t="s">
        <v>367</v>
      </c>
      <c r="J165" s="232" t="s">
        <v>389</v>
      </c>
      <c r="K165" s="233">
        <v>4</v>
      </c>
      <c r="L165" s="195">
        <v>300.8</v>
      </c>
      <c r="M165" s="235">
        <v>343.362831858407</v>
      </c>
      <c r="N165" s="195">
        <f t="shared" si="34"/>
        <v>42.5628318584071</v>
      </c>
      <c r="O165" s="196">
        <f t="shared" si="38"/>
        <v>0.123958762886598</v>
      </c>
      <c r="P165" s="195">
        <f t="shared" si="35"/>
        <v>10.3008849557522</v>
      </c>
      <c r="Q165" s="214">
        <f t="shared" si="39"/>
        <v>41.2035398230089</v>
      </c>
      <c r="R165" s="215">
        <f t="shared" si="40"/>
        <v>0.03</v>
      </c>
      <c r="S165" s="216">
        <f t="shared" si="42"/>
        <v>0.093958762886598</v>
      </c>
      <c r="T165" s="217">
        <f t="shared" si="41"/>
        <v>0.22</v>
      </c>
      <c r="U165" s="218">
        <v>0.06</v>
      </c>
      <c r="V165" s="219">
        <f t="shared" si="37"/>
        <v>0.19</v>
      </c>
      <c r="Z165" s="240" t="s">
        <v>537</v>
      </c>
    </row>
    <row r="166" customHeight="1" spans="3:26">
      <c r="C166" s="183" t="s">
        <v>361</v>
      </c>
      <c r="D166" s="184" t="s">
        <v>98</v>
      </c>
      <c r="E166" s="184" t="s">
        <v>346</v>
      </c>
      <c r="F166" s="184" t="s">
        <v>347</v>
      </c>
      <c r="G166" s="230"/>
      <c r="H166" s="231">
        <v>45383</v>
      </c>
      <c r="I166" s="7"/>
      <c r="J166" s="232" t="s">
        <v>538</v>
      </c>
      <c r="K166" s="233">
        <v>10</v>
      </c>
      <c r="L166" s="234">
        <v>471.57</v>
      </c>
      <c r="M166" s="235">
        <v>597.35</v>
      </c>
      <c r="N166" s="195">
        <f t="shared" si="34"/>
        <v>125.78</v>
      </c>
      <c r="O166" s="196">
        <f t="shared" si="38"/>
        <v>0.2105633213359</v>
      </c>
      <c r="P166" s="195">
        <f t="shared" si="35"/>
        <v>17.9205</v>
      </c>
      <c r="Q166" s="214">
        <f t="shared" si="39"/>
        <v>179.205</v>
      </c>
      <c r="R166" s="215">
        <f t="shared" si="40"/>
        <v>0.03</v>
      </c>
      <c r="S166" s="216">
        <f t="shared" si="42"/>
        <v>0.1805633213359</v>
      </c>
      <c r="T166" s="217">
        <f t="shared" si="41"/>
        <v>0.22</v>
      </c>
      <c r="U166" s="218">
        <v>0.06</v>
      </c>
      <c r="V166" s="219">
        <f t="shared" si="37"/>
        <v>0.19</v>
      </c>
      <c r="Z166" s="240" t="s">
        <v>539</v>
      </c>
    </row>
    <row r="167" customHeight="1" spans="3:26">
      <c r="C167" s="183" t="s">
        <v>361</v>
      </c>
      <c r="D167" s="184" t="s">
        <v>98</v>
      </c>
      <c r="E167" s="184" t="s">
        <v>346</v>
      </c>
      <c r="F167" s="184" t="s">
        <v>347</v>
      </c>
      <c r="G167" s="230"/>
      <c r="H167" s="231">
        <v>45388</v>
      </c>
      <c r="I167" s="236" t="s">
        <v>367</v>
      </c>
      <c r="J167" s="232" t="s">
        <v>540</v>
      </c>
      <c r="K167" s="233">
        <v>4</v>
      </c>
      <c r="L167" s="234">
        <v>884.96</v>
      </c>
      <c r="M167" s="235">
        <v>1007.96460176991</v>
      </c>
      <c r="N167" s="195">
        <f t="shared" si="34"/>
        <v>123.004601769912</v>
      </c>
      <c r="O167" s="196">
        <f t="shared" si="38"/>
        <v>0.12203266022827</v>
      </c>
      <c r="P167" s="195">
        <f t="shared" si="35"/>
        <v>30.2389380530973</v>
      </c>
      <c r="Q167" s="214">
        <f t="shared" si="39"/>
        <v>120.955752212389</v>
      </c>
      <c r="R167" s="215">
        <f t="shared" si="40"/>
        <v>0.03</v>
      </c>
      <c r="S167" s="216">
        <f t="shared" si="42"/>
        <v>0.0920326602282705</v>
      </c>
      <c r="T167" s="217">
        <f t="shared" si="41"/>
        <v>0.22</v>
      </c>
      <c r="U167" s="218">
        <v>0.06</v>
      </c>
      <c r="V167" s="219">
        <f t="shared" si="37"/>
        <v>0.19</v>
      </c>
      <c r="Z167" s="239" t="s">
        <v>541</v>
      </c>
    </row>
    <row r="168" customHeight="1" spans="3:26">
      <c r="C168" s="183" t="s">
        <v>361</v>
      </c>
      <c r="D168" s="184" t="s">
        <v>98</v>
      </c>
      <c r="E168" s="184" t="s">
        <v>346</v>
      </c>
      <c r="F168" s="184" t="s">
        <v>347</v>
      </c>
      <c r="G168" s="230"/>
      <c r="H168" s="231">
        <v>45390</v>
      </c>
      <c r="I168" s="238" t="s">
        <v>367</v>
      </c>
      <c r="J168" s="232" t="s">
        <v>542</v>
      </c>
      <c r="K168" s="233">
        <v>6</v>
      </c>
      <c r="L168" s="234">
        <v>2929.46</v>
      </c>
      <c r="M168" s="235">
        <v>3628.3185840708</v>
      </c>
      <c r="N168" s="195">
        <f t="shared" si="34"/>
        <v>698.858584070797</v>
      </c>
      <c r="O168" s="196">
        <f t="shared" si="38"/>
        <v>0.192612243902439</v>
      </c>
      <c r="P168" s="195">
        <f t="shared" si="35"/>
        <v>108.849557522124</v>
      </c>
      <c r="Q168" s="214">
        <f t="shared" si="39"/>
        <v>653.097345132743</v>
      </c>
      <c r="R168" s="215">
        <f t="shared" si="40"/>
        <v>0.03</v>
      </c>
      <c r="S168" s="216">
        <f t="shared" si="42"/>
        <v>0.162612243902439</v>
      </c>
      <c r="T168" s="217">
        <f t="shared" si="41"/>
        <v>0.22</v>
      </c>
      <c r="U168" s="218">
        <v>0.06</v>
      </c>
      <c r="V168" s="219">
        <f t="shared" si="37"/>
        <v>0.19</v>
      </c>
      <c r="Z168" s="239" t="s">
        <v>543</v>
      </c>
    </row>
    <row r="169" customHeight="1" spans="3:26">
      <c r="C169" s="183" t="s">
        <v>361</v>
      </c>
      <c r="D169" s="184" t="s">
        <v>98</v>
      </c>
      <c r="E169" s="184" t="s">
        <v>346</v>
      </c>
      <c r="F169" s="184" t="s">
        <v>347</v>
      </c>
      <c r="G169" s="230"/>
      <c r="H169" s="231">
        <v>45397</v>
      </c>
      <c r="I169" s="7" t="s">
        <v>440</v>
      </c>
      <c r="J169" s="232" t="s">
        <v>544</v>
      </c>
      <c r="K169" s="233">
        <v>1</v>
      </c>
      <c r="L169" s="234">
        <v>1238.94</v>
      </c>
      <c r="M169" s="235">
        <v>1396.46017699115</v>
      </c>
      <c r="N169" s="195">
        <f t="shared" si="34"/>
        <v>157.52017699115</v>
      </c>
      <c r="O169" s="196">
        <f t="shared" si="38"/>
        <v>0.112799619771863</v>
      </c>
      <c r="P169" s="195">
        <f t="shared" si="35"/>
        <v>41.8938053097345</v>
      </c>
      <c r="Q169" s="214">
        <f t="shared" si="39"/>
        <v>41.8938053097345</v>
      </c>
      <c r="R169" s="215">
        <f t="shared" si="40"/>
        <v>0.03</v>
      </c>
      <c r="S169" s="216">
        <f t="shared" si="42"/>
        <v>0.0827996197718631</v>
      </c>
      <c r="T169" s="217">
        <f t="shared" si="41"/>
        <v>0.22</v>
      </c>
      <c r="U169" s="218">
        <v>0.06</v>
      </c>
      <c r="V169" s="219">
        <f t="shared" si="37"/>
        <v>0.19</v>
      </c>
      <c r="Z169" s="239" t="s">
        <v>545</v>
      </c>
    </row>
    <row r="170" customHeight="1" spans="3:26">
      <c r="C170" s="183" t="s">
        <v>361</v>
      </c>
      <c r="D170" s="184" t="s">
        <v>98</v>
      </c>
      <c r="E170" s="184" t="s">
        <v>346</v>
      </c>
      <c r="F170" s="184" t="s">
        <v>347</v>
      </c>
      <c r="G170" s="230"/>
      <c r="H170" s="231">
        <v>45401</v>
      </c>
      <c r="I170" s="193" t="s">
        <v>367</v>
      </c>
      <c r="J170" s="232" t="s">
        <v>546</v>
      </c>
      <c r="K170" s="233">
        <v>2</v>
      </c>
      <c r="L170" s="234">
        <v>5074.93</v>
      </c>
      <c r="M170" s="235">
        <v>5853.98230088496</v>
      </c>
      <c r="N170" s="195">
        <f t="shared" si="34"/>
        <v>779.052300884956</v>
      </c>
      <c r="O170" s="196">
        <f t="shared" si="38"/>
        <v>0.133080740740741</v>
      </c>
      <c r="P170" s="195">
        <f t="shared" si="35"/>
        <v>175.619469026549</v>
      </c>
      <c r="Q170" s="214">
        <f t="shared" si="39"/>
        <v>351.238938053097</v>
      </c>
      <c r="R170" s="215">
        <f t="shared" si="40"/>
        <v>0.03</v>
      </c>
      <c r="S170" s="216">
        <f t="shared" si="42"/>
        <v>0.103080740740741</v>
      </c>
      <c r="T170" s="217">
        <f t="shared" si="41"/>
        <v>0.22</v>
      </c>
      <c r="U170" s="218">
        <v>0.06</v>
      </c>
      <c r="V170" s="219">
        <f t="shared" si="37"/>
        <v>0.19</v>
      </c>
      <c r="Z170" s="240" t="s">
        <v>547</v>
      </c>
    </row>
    <row r="171" customHeight="1" spans="3:26">
      <c r="C171" s="183" t="s">
        <v>361</v>
      </c>
      <c r="D171" s="184" t="s">
        <v>98</v>
      </c>
      <c r="E171" s="184" t="s">
        <v>346</v>
      </c>
      <c r="F171" s="184" t="s">
        <v>347</v>
      </c>
      <c r="G171" s="230"/>
      <c r="H171" s="231">
        <v>45401</v>
      </c>
      <c r="I171" s="193" t="s">
        <v>367</v>
      </c>
      <c r="J171" s="245" t="s">
        <v>525</v>
      </c>
      <c r="K171" s="233">
        <v>2</v>
      </c>
      <c r="L171" s="195">
        <v>300.8</v>
      </c>
      <c r="M171" s="235">
        <v>343.362831858407</v>
      </c>
      <c r="N171" s="195">
        <f t="shared" si="34"/>
        <v>42.5628318584071</v>
      </c>
      <c r="O171" s="196">
        <f t="shared" si="38"/>
        <v>0.123958762886598</v>
      </c>
      <c r="P171" s="195">
        <f t="shared" si="35"/>
        <v>10.3008849557522</v>
      </c>
      <c r="Q171" s="214">
        <f t="shared" si="39"/>
        <v>20.6017699115044</v>
      </c>
      <c r="R171" s="215">
        <f t="shared" si="40"/>
        <v>0.03</v>
      </c>
      <c r="S171" s="216">
        <f t="shared" si="42"/>
        <v>0.093958762886598</v>
      </c>
      <c r="T171" s="217">
        <f t="shared" si="41"/>
        <v>0.22</v>
      </c>
      <c r="U171" s="218">
        <v>0.06</v>
      </c>
      <c r="V171" s="219">
        <f t="shared" si="37"/>
        <v>0.19</v>
      </c>
      <c r="Z171" s="239" t="s">
        <v>547</v>
      </c>
    </row>
    <row r="172" customHeight="1" spans="3:26">
      <c r="C172" s="183" t="s">
        <v>361</v>
      </c>
      <c r="D172" s="184" t="s">
        <v>98</v>
      </c>
      <c r="E172" s="184" t="s">
        <v>346</v>
      </c>
      <c r="F172" s="184" t="s">
        <v>347</v>
      </c>
      <c r="G172" s="233"/>
      <c r="H172" s="231">
        <v>45407</v>
      </c>
      <c r="I172" s="193" t="s">
        <v>367</v>
      </c>
      <c r="J172" s="232" t="s">
        <v>525</v>
      </c>
      <c r="K172" s="233">
        <v>1</v>
      </c>
      <c r="L172" s="195">
        <v>300.8</v>
      </c>
      <c r="M172" s="235">
        <v>343.362831858407</v>
      </c>
      <c r="N172" s="195">
        <f t="shared" si="34"/>
        <v>42.5628318584071</v>
      </c>
      <c r="O172" s="196">
        <f t="shared" si="38"/>
        <v>0.123958762886598</v>
      </c>
      <c r="P172" s="195">
        <f t="shared" si="35"/>
        <v>10.3008849557522</v>
      </c>
      <c r="Q172" s="214">
        <f t="shared" si="39"/>
        <v>10.3008849557522</v>
      </c>
      <c r="R172" s="215">
        <f t="shared" si="40"/>
        <v>0.03</v>
      </c>
      <c r="S172" s="216">
        <f t="shared" si="42"/>
        <v>0.093958762886598</v>
      </c>
      <c r="T172" s="217">
        <f t="shared" si="41"/>
        <v>0.22</v>
      </c>
      <c r="U172" s="218">
        <v>0.06</v>
      </c>
      <c r="V172" s="219">
        <f t="shared" si="37"/>
        <v>0.19</v>
      </c>
      <c r="Z172" s="240" t="s">
        <v>548</v>
      </c>
    </row>
    <row r="173" customHeight="1" spans="3:26">
      <c r="C173" s="183" t="s">
        <v>361</v>
      </c>
      <c r="D173" s="184" t="s">
        <v>98</v>
      </c>
      <c r="E173" s="184" t="s">
        <v>346</v>
      </c>
      <c r="F173" s="184" t="s">
        <v>347</v>
      </c>
      <c r="G173" s="230"/>
      <c r="H173" s="231">
        <v>45407</v>
      </c>
      <c r="I173" s="193" t="s">
        <v>367</v>
      </c>
      <c r="J173" s="232" t="s">
        <v>507</v>
      </c>
      <c r="K173" s="233">
        <v>1</v>
      </c>
      <c r="L173" s="234">
        <v>4583.92</v>
      </c>
      <c r="M173" s="235">
        <v>5485.8407079646</v>
      </c>
      <c r="N173" s="195">
        <f t="shared" si="34"/>
        <v>901.920707964602</v>
      </c>
      <c r="O173" s="196">
        <f t="shared" si="38"/>
        <v>0.164408840135506</v>
      </c>
      <c r="P173" s="195">
        <f t="shared" si="35"/>
        <v>164.575221238938</v>
      </c>
      <c r="Q173" s="214">
        <f t="shared" si="39"/>
        <v>164.575221238938</v>
      </c>
      <c r="R173" s="215">
        <f t="shared" si="40"/>
        <v>0.03</v>
      </c>
      <c r="S173" s="216">
        <f t="shared" si="42"/>
        <v>0.134408840135506</v>
      </c>
      <c r="T173" s="217">
        <f t="shared" si="41"/>
        <v>0.22</v>
      </c>
      <c r="U173" s="218">
        <v>0.06</v>
      </c>
      <c r="V173" s="219">
        <f t="shared" si="37"/>
        <v>0.19</v>
      </c>
      <c r="Z173" s="240" t="s">
        <v>549</v>
      </c>
    </row>
    <row r="174" customHeight="1" spans="3:26">
      <c r="C174" s="183" t="s">
        <v>361</v>
      </c>
      <c r="D174" s="184" t="s">
        <v>98</v>
      </c>
      <c r="E174" s="184" t="s">
        <v>346</v>
      </c>
      <c r="F174" s="184" t="s">
        <v>347</v>
      </c>
      <c r="G174" s="230"/>
      <c r="H174" s="231">
        <v>45411</v>
      </c>
      <c r="I174" s="193" t="s">
        <v>367</v>
      </c>
      <c r="J174" s="232" t="s">
        <v>502</v>
      </c>
      <c r="K174" s="233">
        <v>1</v>
      </c>
      <c r="L174" s="234"/>
      <c r="M174" s="235">
        <v>676.991150442478</v>
      </c>
      <c r="N174" s="195">
        <f t="shared" si="34"/>
        <v>676.991150442478</v>
      </c>
      <c r="O174" s="196">
        <f t="shared" si="38"/>
        <v>1</v>
      </c>
      <c r="P174" s="195">
        <f t="shared" si="35"/>
        <v>20.3097345132743</v>
      </c>
      <c r="Q174" s="214">
        <f t="shared" si="39"/>
        <v>20.3097345132743</v>
      </c>
      <c r="R174" s="215">
        <f t="shared" si="40"/>
        <v>0.03</v>
      </c>
      <c r="S174" s="216">
        <f t="shared" si="42"/>
        <v>0.97</v>
      </c>
      <c r="T174" s="217">
        <f t="shared" si="41"/>
        <v>0.22</v>
      </c>
      <c r="U174" s="218">
        <v>0.06</v>
      </c>
      <c r="V174" s="219">
        <f t="shared" si="37"/>
        <v>0.19</v>
      </c>
      <c r="Z174" s="240" t="s">
        <v>550</v>
      </c>
    </row>
    <row r="175" customHeight="1" spans="3:26">
      <c r="C175" s="183" t="s">
        <v>361</v>
      </c>
      <c r="D175" s="184" t="s">
        <v>98</v>
      </c>
      <c r="E175" s="184" t="s">
        <v>346</v>
      </c>
      <c r="F175" s="184" t="s">
        <v>347</v>
      </c>
      <c r="G175" s="230"/>
      <c r="H175" s="231">
        <v>45411</v>
      </c>
      <c r="I175" s="193" t="s">
        <v>367</v>
      </c>
      <c r="J175" s="232" t="s">
        <v>542</v>
      </c>
      <c r="K175" s="233">
        <v>1</v>
      </c>
      <c r="L175" s="234"/>
      <c r="M175" s="235">
        <v>3628.3185840708</v>
      </c>
      <c r="N175" s="195">
        <f t="shared" si="34"/>
        <v>3628.3185840708</v>
      </c>
      <c r="O175" s="196">
        <f t="shared" si="38"/>
        <v>1</v>
      </c>
      <c r="P175" s="195">
        <f t="shared" si="35"/>
        <v>108.849557522124</v>
      </c>
      <c r="Q175" s="214">
        <f t="shared" si="39"/>
        <v>108.849557522124</v>
      </c>
      <c r="R175" s="215">
        <f t="shared" si="40"/>
        <v>0.03</v>
      </c>
      <c r="S175" s="216">
        <f t="shared" si="42"/>
        <v>0.97</v>
      </c>
      <c r="T175" s="217">
        <f t="shared" si="41"/>
        <v>0.22</v>
      </c>
      <c r="U175" s="218">
        <v>0.06</v>
      </c>
      <c r="V175" s="219">
        <f t="shared" si="37"/>
        <v>0.19</v>
      </c>
      <c r="Z175" s="240" t="s">
        <v>551</v>
      </c>
    </row>
    <row r="176" customHeight="1" spans="7:26">
      <c r="G176" s="242"/>
      <c r="Z176" s="239"/>
    </row>
    <row r="177" customHeight="1" spans="7:7">
      <c r="G177" s="164"/>
    </row>
    <row r="178" customHeight="1" spans="7:7">
      <c r="G178" s="164"/>
    </row>
    <row r="179" customHeight="1" spans="7:7">
      <c r="G179" s="164"/>
    </row>
    <row r="180" customHeight="1" spans="7:7">
      <c r="G180" s="164"/>
    </row>
    <row r="181" customHeight="1" spans="7:7">
      <c r="G181" s="164"/>
    </row>
    <row r="182" customHeight="1" spans="7:7">
      <c r="G182" s="164"/>
    </row>
    <row r="183" customHeight="1" spans="7:7">
      <c r="G183" s="164"/>
    </row>
    <row r="184" customHeight="1" spans="7:7">
      <c r="G184" s="164"/>
    </row>
    <row r="185" customHeight="1" spans="7:7">
      <c r="G185" s="164"/>
    </row>
    <row r="186" customHeight="1" spans="7:7">
      <c r="G186" s="164"/>
    </row>
    <row r="187" customHeight="1" spans="7:7">
      <c r="G187" s="164"/>
    </row>
    <row r="188" customHeight="1" spans="7:7">
      <c r="G188" s="164"/>
    </row>
    <row r="189" customHeight="1" spans="7:7">
      <c r="G189" s="164"/>
    </row>
    <row r="190" customHeight="1" spans="7:7">
      <c r="G190" s="164"/>
    </row>
    <row r="191" customHeight="1" spans="7:7">
      <c r="G191" s="164"/>
    </row>
    <row r="192" customHeight="1" spans="7:7">
      <c r="G192" s="164"/>
    </row>
    <row r="193" customHeight="1" spans="7:7">
      <c r="G193" s="164"/>
    </row>
    <row r="194" customHeight="1" spans="7:7">
      <c r="G194" s="164"/>
    </row>
    <row r="195" customHeight="1" spans="7:7">
      <c r="G195" s="164"/>
    </row>
    <row r="196" customHeight="1" spans="7:7">
      <c r="G196" s="164"/>
    </row>
    <row r="197" customHeight="1" spans="7:7">
      <c r="G197" s="164"/>
    </row>
  </sheetData>
  <autoFilter xmlns:etc="http://www.wps.cn/officeDocument/2017/etCustomData" ref="A3:AE175" etc:filterBottomFollowUsedRange="0">
    <extLst/>
  </autoFilter>
  <mergeCells count="3">
    <mergeCell ref="A1:R2"/>
    <mergeCell ref="S1:W2"/>
    <mergeCell ref="X1:Z2"/>
  </mergeCells>
  <conditionalFormatting sqref="W5">
    <cfRule type="cellIs" dxfId="0" priority="115" operator="lessThan">
      <formula>0</formula>
    </cfRule>
  </conditionalFormatting>
  <conditionalFormatting sqref="W6">
    <cfRule type="cellIs" dxfId="0" priority="114" operator="lessThan">
      <formula>0</formula>
    </cfRule>
  </conditionalFormatting>
  <conditionalFormatting sqref="W7">
    <cfRule type="cellIs" dxfId="0" priority="113" operator="lessThan">
      <formula>0</formula>
    </cfRule>
  </conditionalFormatting>
  <conditionalFormatting sqref="W8">
    <cfRule type="cellIs" dxfId="0" priority="112" operator="lessThan">
      <formula>0</formula>
    </cfRule>
  </conditionalFormatting>
  <conditionalFormatting sqref="W9">
    <cfRule type="cellIs" dxfId="0" priority="111" operator="lessThan">
      <formula>0</formula>
    </cfRule>
  </conditionalFormatting>
  <conditionalFormatting sqref="W10">
    <cfRule type="cellIs" dxfId="0" priority="110" operator="lessThan">
      <formula>0</formula>
    </cfRule>
  </conditionalFormatting>
  <conditionalFormatting sqref="W11">
    <cfRule type="cellIs" dxfId="0" priority="109" operator="lessThan">
      <formula>0</formula>
    </cfRule>
  </conditionalFormatting>
  <conditionalFormatting sqref="W12">
    <cfRule type="cellIs" dxfId="0" priority="108" operator="lessThan">
      <formula>0</formula>
    </cfRule>
  </conditionalFormatting>
  <conditionalFormatting sqref="W13">
    <cfRule type="cellIs" dxfId="0" priority="107" operator="lessThan">
      <formula>0</formula>
    </cfRule>
  </conditionalFormatting>
  <conditionalFormatting sqref="W14">
    <cfRule type="cellIs" dxfId="0" priority="106" operator="lessThan">
      <formula>0</formula>
    </cfRule>
  </conditionalFormatting>
  <conditionalFormatting sqref="W15">
    <cfRule type="cellIs" dxfId="0" priority="105" operator="lessThan">
      <formula>0</formula>
    </cfRule>
  </conditionalFormatting>
  <conditionalFormatting sqref="W16">
    <cfRule type="cellIs" dxfId="0" priority="104" operator="lessThan">
      <formula>0</formula>
    </cfRule>
  </conditionalFormatting>
  <conditionalFormatting sqref="W17">
    <cfRule type="cellIs" dxfId="0" priority="103" operator="lessThan">
      <formula>0</formula>
    </cfRule>
  </conditionalFormatting>
  <conditionalFormatting sqref="W18">
    <cfRule type="cellIs" dxfId="0" priority="102" operator="lessThan">
      <formula>0</formula>
    </cfRule>
  </conditionalFormatting>
  <conditionalFormatting sqref="W19">
    <cfRule type="cellIs" dxfId="0" priority="101" operator="lessThan">
      <formula>0</formula>
    </cfRule>
  </conditionalFormatting>
  <conditionalFormatting sqref="W20">
    <cfRule type="cellIs" dxfId="0" priority="100" operator="lessThan">
      <formula>0</formula>
    </cfRule>
  </conditionalFormatting>
  <conditionalFormatting sqref="W21">
    <cfRule type="cellIs" dxfId="0" priority="99" operator="lessThan">
      <formula>0</formula>
    </cfRule>
  </conditionalFormatting>
  <conditionalFormatting sqref="W22">
    <cfRule type="cellIs" dxfId="0" priority="98" operator="lessThan">
      <formula>0</formula>
    </cfRule>
  </conditionalFormatting>
  <conditionalFormatting sqref="W23">
    <cfRule type="cellIs" dxfId="0" priority="97" operator="lessThan">
      <formula>0</formula>
    </cfRule>
  </conditionalFormatting>
  <conditionalFormatting sqref="W24">
    <cfRule type="cellIs" dxfId="0" priority="96" operator="lessThan">
      <formula>0</formula>
    </cfRule>
  </conditionalFormatting>
  <conditionalFormatting sqref="W25">
    <cfRule type="cellIs" dxfId="0" priority="95" operator="lessThan">
      <formula>0</formula>
    </cfRule>
  </conditionalFormatting>
  <conditionalFormatting sqref="W26">
    <cfRule type="cellIs" dxfId="0" priority="94" operator="lessThan">
      <formula>0</formula>
    </cfRule>
  </conditionalFormatting>
  <conditionalFormatting sqref="W27">
    <cfRule type="cellIs" dxfId="0" priority="93" operator="lessThan">
      <formula>0</formula>
    </cfRule>
  </conditionalFormatting>
  <conditionalFormatting sqref="W28">
    <cfRule type="cellIs" dxfId="0" priority="92" operator="lessThan">
      <formula>0</formula>
    </cfRule>
  </conditionalFormatting>
  <conditionalFormatting sqref="W29">
    <cfRule type="cellIs" dxfId="0" priority="91" operator="lessThan">
      <formula>0</formula>
    </cfRule>
  </conditionalFormatting>
  <conditionalFormatting sqref="W30">
    <cfRule type="cellIs" dxfId="0" priority="90" operator="lessThan">
      <formula>0</formula>
    </cfRule>
  </conditionalFormatting>
  <conditionalFormatting sqref="W31">
    <cfRule type="cellIs" dxfId="0" priority="89" operator="lessThan">
      <formula>0</formula>
    </cfRule>
  </conditionalFormatting>
  <conditionalFormatting sqref="W32">
    <cfRule type="cellIs" dxfId="0" priority="88" operator="lessThan">
      <formula>0</formula>
    </cfRule>
  </conditionalFormatting>
  <conditionalFormatting sqref="W33">
    <cfRule type="cellIs" dxfId="0" priority="87" operator="lessThan">
      <formula>0</formula>
    </cfRule>
  </conditionalFormatting>
  <conditionalFormatting sqref="W34">
    <cfRule type="cellIs" dxfId="0" priority="86" operator="lessThan">
      <formula>0</formula>
    </cfRule>
  </conditionalFormatting>
  <conditionalFormatting sqref="W35">
    <cfRule type="cellIs" dxfId="0" priority="85" operator="lessThan">
      <formula>0</formula>
    </cfRule>
  </conditionalFormatting>
  <conditionalFormatting sqref="W36">
    <cfRule type="cellIs" dxfId="0" priority="84" operator="lessThan">
      <formula>0</formula>
    </cfRule>
  </conditionalFormatting>
  <conditionalFormatting sqref="W37">
    <cfRule type="cellIs" dxfId="0" priority="83" operator="lessThan">
      <formula>0</formula>
    </cfRule>
  </conditionalFormatting>
  <conditionalFormatting sqref="W38">
    <cfRule type="cellIs" dxfId="0" priority="82" operator="lessThan">
      <formula>0</formula>
    </cfRule>
  </conditionalFormatting>
  <conditionalFormatting sqref="W39">
    <cfRule type="cellIs" dxfId="0" priority="81" operator="lessThan">
      <formula>0</formula>
    </cfRule>
  </conditionalFormatting>
  <conditionalFormatting sqref="W40">
    <cfRule type="cellIs" dxfId="0" priority="80" operator="lessThan">
      <formula>0</formula>
    </cfRule>
  </conditionalFormatting>
  <conditionalFormatting sqref="W41">
    <cfRule type="cellIs" dxfId="0" priority="79" operator="lessThan">
      <formula>0</formula>
    </cfRule>
  </conditionalFormatting>
  <conditionalFormatting sqref="W42">
    <cfRule type="cellIs" dxfId="0" priority="78" operator="lessThan">
      <formula>0</formula>
    </cfRule>
  </conditionalFormatting>
  <conditionalFormatting sqref="W43">
    <cfRule type="cellIs" dxfId="0" priority="77" operator="lessThan">
      <formula>0</formula>
    </cfRule>
  </conditionalFormatting>
  <conditionalFormatting sqref="W44">
    <cfRule type="cellIs" dxfId="0" priority="76" operator="lessThan">
      <formula>0</formula>
    </cfRule>
  </conditionalFormatting>
  <conditionalFormatting sqref="W45">
    <cfRule type="cellIs" dxfId="0" priority="75" operator="lessThan">
      <formula>0</formula>
    </cfRule>
  </conditionalFormatting>
  <conditionalFormatting sqref="W46">
    <cfRule type="cellIs" dxfId="0" priority="74" operator="lessThan">
      <formula>0</formula>
    </cfRule>
  </conditionalFormatting>
  <conditionalFormatting sqref="W47">
    <cfRule type="cellIs" dxfId="0" priority="73" operator="lessThan">
      <formula>0</formula>
    </cfRule>
  </conditionalFormatting>
  <conditionalFormatting sqref="W48">
    <cfRule type="cellIs" dxfId="0" priority="72" operator="lessThan">
      <formula>0</formula>
    </cfRule>
  </conditionalFormatting>
  <conditionalFormatting sqref="W49">
    <cfRule type="cellIs" dxfId="0" priority="71" operator="lessThan">
      <formula>0</formula>
    </cfRule>
  </conditionalFormatting>
  <conditionalFormatting sqref="W50">
    <cfRule type="cellIs" dxfId="0" priority="70" operator="lessThan">
      <formula>0</formula>
    </cfRule>
  </conditionalFormatting>
  <conditionalFormatting sqref="W51">
    <cfRule type="cellIs" dxfId="0" priority="69" operator="lessThan">
      <formula>0</formula>
    </cfRule>
  </conditionalFormatting>
  <conditionalFormatting sqref="W52">
    <cfRule type="cellIs" dxfId="0" priority="68" operator="lessThan">
      <formula>0</formula>
    </cfRule>
  </conditionalFormatting>
  <conditionalFormatting sqref="W53">
    <cfRule type="cellIs" dxfId="0" priority="67" operator="lessThan">
      <formula>0</formula>
    </cfRule>
  </conditionalFormatting>
  <conditionalFormatting sqref="W54">
    <cfRule type="cellIs" dxfId="0" priority="66" operator="lessThan">
      <formula>0</formula>
    </cfRule>
  </conditionalFormatting>
  <conditionalFormatting sqref="W55">
    <cfRule type="cellIs" dxfId="0" priority="65" operator="lessThan">
      <formula>0</formula>
    </cfRule>
  </conditionalFormatting>
  <conditionalFormatting sqref="W56">
    <cfRule type="cellIs" dxfId="0" priority="64" operator="lessThan">
      <formula>0</formula>
    </cfRule>
  </conditionalFormatting>
  <conditionalFormatting sqref="W57">
    <cfRule type="cellIs" dxfId="0" priority="63" operator="lessThan">
      <formula>0</formula>
    </cfRule>
  </conditionalFormatting>
  <conditionalFormatting sqref="W58">
    <cfRule type="cellIs" dxfId="0" priority="62" operator="lessThan">
      <formula>0</formula>
    </cfRule>
  </conditionalFormatting>
  <conditionalFormatting sqref="W59">
    <cfRule type="cellIs" dxfId="0" priority="61" operator="lessThan">
      <formula>0</formula>
    </cfRule>
  </conditionalFormatting>
  <conditionalFormatting sqref="W60">
    <cfRule type="cellIs" dxfId="0" priority="60" operator="lessThan">
      <formula>0</formula>
    </cfRule>
  </conditionalFormatting>
  <conditionalFormatting sqref="W61">
    <cfRule type="cellIs" dxfId="0" priority="59" operator="lessThan">
      <formula>0</formula>
    </cfRule>
  </conditionalFormatting>
  <conditionalFormatting sqref="W62">
    <cfRule type="cellIs" dxfId="0" priority="58" operator="lessThan">
      <formula>0</formula>
    </cfRule>
  </conditionalFormatting>
  <conditionalFormatting sqref="W63">
    <cfRule type="cellIs" dxfId="0" priority="57" operator="lessThan">
      <formula>0</formula>
    </cfRule>
  </conditionalFormatting>
  <conditionalFormatting sqref="W64">
    <cfRule type="cellIs" dxfId="0" priority="56" operator="lessThan">
      <formula>0</formula>
    </cfRule>
  </conditionalFormatting>
  <conditionalFormatting sqref="W65">
    <cfRule type="cellIs" dxfId="0" priority="55" operator="lessThan">
      <formula>0</formula>
    </cfRule>
  </conditionalFormatting>
  <conditionalFormatting sqref="W66">
    <cfRule type="cellIs" dxfId="0" priority="54" operator="lessThan">
      <formula>0</formula>
    </cfRule>
  </conditionalFormatting>
  <conditionalFormatting sqref="W67">
    <cfRule type="cellIs" dxfId="0" priority="53" operator="lessThan">
      <formula>0</formula>
    </cfRule>
  </conditionalFormatting>
  <conditionalFormatting sqref="W68">
    <cfRule type="cellIs" dxfId="0" priority="52" operator="lessThan">
      <formula>0</formula>
    </cfRule>
  </conditionalFormatting>
  <conditionalFormatting sqref="W69">
    <cfRule type="cellIs" dxfId="0" priority="51" operator="lessThan">
      <formula>0</formula>
    </cfRule>
  </conditionalFormatting>
  <conditionalFormatting sqref="W70">
    <cfRule type="cellIs" dxfId="0" priority="50" operator="lessThan">
      <formula>0</formula>
    </cfRule>
  </conditionalFormatting>
  <conditionalFormatting sqref="W71">
    <cfRule type="cellIs" dxfId="0" priority="49" operator="lessThan">
      <formula>0</formula>
    </cfRule>
  </conditionalFormatting>
  <conditionalFormatting sqref="W72">
    <cfRule type="cellIs" dxfId="0" priority="48" operator="lessThan">
      <formula>0</formula>
    </cfRule>
  </conditionalFormatting>
  <conditionalFormatting sqref="W73">
    <cfRule type="cellIs" dxfId="0" priority="47" operator="lessThan">
      <formula>0</formula>
    </cfRule>
  </conditionalFormatting>
  <conditionalFormatting sqref="W74">
    <cfRule type="cellIs" dxfId="0" priority="46" operator="lessThan">
      <formula>0</formula>
    </cfRule>
  </conditionalFormatting>
  <conditionalFormatting sqref="W75">
    <cfRule type="cellIs" dxfId="0" priority="45" operator="lessThan">
      <formula>0</formula>
    </cfRule>
  </conditionalFormatting>
  <conditionalFormatting sqref="W76">
    <cfRule type="cellIs" dxfId="0" priority="44" operator="lessThan">
      <formula>0</formula>
    </cfRule>
  </conditionalFormatting>
  <conditionalFormatting sqref="W77">
    <cfRule type="cellIs" dxfId="0" priority="43" operator="lessThan">
      <formula>0</formula>
    </cfRule>
  </conditionalFormatting>
  <conditionalFormatting sqref="W78">
    <cfRule type="cellIs" dxfId="0" priority="42" operator="lessThan">
      <formula>0</formula>
    </cfRule>
  </conditionalFormatting>
  <conditionalFormatting sqref="W79">
    <cfRule type="cellIs" dxfId="0" priority="41" operator="lessThan">
      <formula>0</formula>
    </cfRule>
  </conditionalFormatting>
  <conditionalFormatting sqref="W80">
    <cfRule type="cellIs" dxfId="0" priority="40" operator="lessThan">
      <formula>0</formula>
    </cfRule>
  </conditionalFormatting>
  <conditionalFormatting sqref="W81">
    <cfRule type="cellIs" dxfId="0" priority="39" operator="lessThan">
      <formula>0</formula>
    </cfRule>
  </conditionalFormatting>
  <conditionalFormatting sqref="W82">
    <cfRule type="cellIs" dxfId="0" priority="38" operator="lessThan">
      <formula>0</formula>
    </cfRule>
  </conditionalFormatting>
  <conditionalFormatting sqref="W83">
    <cfRule type="cellIs" dxfId="0" priority="37" operator="lessThan">
      <formula>0</formula>
    </cfRule>
  </conditionalFormatting>
  <conditionalFormatting sqref="W84">
    <cfRule type="cellIs" dxfId="0" priority="36" operator="lessThan">
      <formula>0</formula>
    </cfRule>
  </conditionalFormatting>
  <conditionalFormatting sqref="W85">
    <cfRule type="cellIs" dxfId="0" priority="35" operator="lessThan">
      <formula>0</formula>
    </cfRule>
  </conditionalFormatting>
  <conditionalFormatting sqref="W86">
    <cfRule type="cellIs" dxfId="0" priority="34" operator="lessThan">
      <formula>0</formula>
    </cfRule>
  </conditionalFormatting>
  <conditionalFormatting sqref="W87">
    <cfRule type="cellIs" dxfId="0" priority="33" operator="lessThan">
      <formula>0</formula>
    </cfRule>
  </conditionalFormatting>
  <conditionalFormatting sqref="W88">
    <cfRule type="cellIs" dxfId="0" priority="32" operator="lessThan">
      <formula>0</formula>
    </cfRule>
  </conditionalFormatting>
  <conditionalFormatting sqref="W89">
    <cfRule type="cellIs" dxfId="0" priority="31" operator="lessThan">
      <formula>0</formula>
    </cfRule>
  </conditionalFormatting>
  <conditionalFormatting sqref="W90">
    <cfRule type="cellIs" dxfId="0" priority="30" operator="lessThan">
      <formula>0</formula>
    </cfRule>
  </conditionalFormatting>
  <conditionalFormatting sqref="W91">
    <cfRule type="cellIs" dxfId="0" priority="29" operator="lessThan">
      <formula>0</formula>
    </cfRule>
  </conditionalFormatting>
  <conditionalFormatting sqref="W92">
    <cfRule type="cellIs" dxfId="0" priority="28" operator="lessThan">
      <formula>0</formula>
    </cfRule>
  </conditionalFormatting>
  <conditionalFormatting sqref="W93">
    <cfRule type="cellIs" dxfId="0" priority="27" operator="lessThan">
      <formula>0</formula>
    </cfRule>
  </conditionalFormatting>
  <conditionalFormatting sqref="W94">
    <cfRule type="cellIs" dxfId="0" priority="26" operator="lessThan">
      <formula>0</formula>
    </cfRule>
  </conditionalFormatting>
  <conditionalFormatting sqref="W95">
    <cfRule type="cellIs" dxfId="0" priority="25" operator="lessThan">
      <formula>0</formula>
    </cfRule>
  </conditionalFormatting>
  <conditionalFormatting sqref="W96">
    <cfRule type="cellIs" dxfId="0" priority="24" operator="lessThan">
      <formula>0</formula>
    </cfRule>
  </conditionalFormatting>
  <conditionalFormatting sqref="W97">
    <cfRule type="cellIs" dxfId="0" priority="23" operator="lessThan">
      <formula>0</formula>
    </cfRule>
  </conditionalFormatting>
  <conditionalFormatting sqref="W98">
    <cfRule type="cellIs" dxfId="0" priority="22" operator="lessThan">
      <formula>0</formula>
    </cfRule>
  </conditionalFormatting>
  <conditionalFormatting sqref="W99">
    <cfRule type="cellIs" dxfId="0" priority="21" operator="lessThan">
      <formula>0</formula>
    </cfRule>
  </conditionalFormatting>
  <conditionalFormatting sqref="W100">
    <cfRule type="cellIs" dxfId="0" priority="20" operator="lessThan">
      <formula>0</formula>
    </cfRule>
  </conditionalFormatting>
  <conditionalFormatting sqref="W101">
    <cfRule type="cellIs" dxfId="0" priority="19" operator="lessThan">
      <formula>0</formula>
    </cfRule>
  </conditionalFormatting>
  <conditionalFormatting sqref="W102">
    <cfRule type="cellIs" dxfId="0" priority="18" operator="lessThan">
      <formula>0</formula>
    </cfRule>
  </conditionalFormatting>
  <conditionalFormatting sqref="W103">
    <cfRule type="cellIs" dxfId="0" priority="17" operator="lessThan">
      <formula>0</formula>
    </cfRule>
  </conditionalFormatting>
  <conditionalFormatting sqref="W104">
    <cfRule type="cellIs" dxfId="0" priority="16" operator="lessThan">
      <formula>0</formula>
    </cfRule>
  </conditionalFormatting>
  <conditionalFormatting sqref="W105">
    <cfRule type="cellIs" dxfId="0" priority="15" operator="lessThan">
      <formula>0</formula>
    </cfRule>
  </conditionalFormatting>
  <conditionalFormatting sqref="W106">
    <cfRule type="cellIs" dxfId="0" priority="14" operator="lessThan">
      <formula>0</formula>
    </cfRule>
  </conditionalFormatting>
  <conditionalFormatting sqref="W107">
    <cfRule type="cellIs" dxfId="0" priority="13" operator="lessThan">
      <formula>0</formula>
    </cfRule>
  </conditionalFormatting>
  <conditionalFormatting sqref="W108">
    <cfRule type="cellIs" dxfId="0" priority="12" operator="lessThan">
      <formula>0</formula>
    </cfRule>
  </conditionalFormatting>
  <conditionalFormatting sqref="W109">
    <cfRule type="cellIs" dxfId="0" priority="11" operator="lessThan">
      <formula>0</formula>
    </cfRule>
  </conditionalFormatting>
  <conditionalFormatting sqref="W110">
    <cfRule type="cellIs" dxfId="0" priority="10" operator="lessThan">
      <formula>0</formula>
    </cfRule>
  </conditionalFormatting>
  <conditionalFormatting sqref="W111">
    <cfRule type="cellIs" dxfId="0" priority="9" operator="lessThan">
      <formula>0</formula>
    </cfRule>
  </conditionalFormatting>
  <conditionalFormatting sqref="W112">
    <cfRule type="cellIs" dxfId="0" priority="8" operator="lessThan">
      <formula>0</formula>
    </cfRule>
  </conditionalFormatting>
  <conditionalFormatting sqref="W113">
    <cfRule type="cellIs" dxfId="0" priority="7" operator="lessThan">
      <formula>0</formula>
    </cfRule>
  </conditionalFormatting>
  <conditionalFormatting sqref="W114">
    <cfRule type="cellIs" dxfId="0" priority="6" operator="lessThan">
      <formula>0</formula>
    </cfRule>
  </conditionalFormatting>
  <conditionalFormatting sqref="W115">
    <cfRule type="cellIs" dxfId="0" priority="5" operator="lessThan">
      <formula>0</formula>
    </cfRule>
  </conditionalFormatting>
  <conditionalFormatting sqref="W116">
    <cfRule type="cellIs" dxfId="0" priority="4" operator="lessThan">
      <formula>0</formula>
    </cfRule>
  </conditionalFormatting>
  <conditionalFormatting sqref="W117">
    <cfRule type="cellIs" dxfId="0" priority="3" operator="lessThan">
      <formula>0</formula>
    </cfRule>
  </conditionalFormatting>
  <conditionalFormatting sqref="W118">
    <cfRule type="cellIs" dxfId="0" priority="2" operator="lessThan">
      <formula>0</formula>
    </cfRule>
  </conditionalFormatting>
  <conditionalFormatting sqref="W119">
    <cfRule type="cellIs" dxfId="0" priority="1" operator="lessThan">
      <formula>0</formula>
    </cfRule>
  </conditionalFormatting>
  <conditionalFormatting sqref="V3 V176:V1048576">
    <cfRule type="expression" dxfId="1" priority="117">
      <formula>$V3&gt;$S3</formula>
    </cfRule>
  </conditionalFormatting>
  <conditionalFormatting sqref="W3:W4 W120:W1048576">
    <cfRule type="cellIs" dxfId="0" priority="116" operator="lessThan">
      <formula>0</formula>
    </cfRule>
  </conditionalFormatting>
  <dataValidations count="1">
    <dataValidation type="list" allowBlank="1" showInputMessage="1" showErrorMessage="1" sqref="C$1:C$1048576">
      <formula1>"深圳福达通,康为,新浪潮,湖南飞英达,志奋领"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98"/>
  <sheetViews>
    <sheetView zoomScale="85" zoomScaleNormal="85" workbookViewId="0">
      <pane xSplit="7" ySplit="3" topLeftCell="K4" activePane="bottomRight" state="frozen"/>
      <selection/>
      <selection pane="topRight"/>
      <selection pane="bottomLeft"/>
      <selection pane="bottomRight" activeCell="M3" sqref="M$1:M$1048576"/>
    </sheetView>
  </sheetViews>
  <sheetFormatPr defaultColWidth="9" defaultRowHeight="12"/>
  <cols>
    <col min="1" max="2" width="9" style="75" customWidth="1"/>
    <col min="3" max="3" width="12.25" style="75" customWidth="1"/>
    <col min="4" max="4" width="9" style="75" customWidth="1"/>
    <col min="5" max="5" width="21.25" style="76" customWidth="1"/>
    <col min="6" max="7" width="9" style="75" customWidth="1"/>
    <col min="8" max="8" width="11.7833333333333" style="75" customWidth="1"/>
    <col min="9" max="9" width="8.03333333333333" style="75" customWidth="1"/>
    <col min="10" max="10" width="30.3916666666667" style="77" customWidth="1"/>
    <col min="11" max="11" width="6.075" style="78" customWidth="1"/>
    <col min="12" max="12" width="9" style="79"/>
    <col min="13" max="13" width="9.66666666666667" style="79"/>
    <col min="14" max="14" width="8.45" style="75" customWidth="1"/>
    <col min="15" max="15" width="7.54166666666667" style="80" customWidth="1"/>
    <col min="16" max="16" width="9.41666666666667" style="75" customWidth="1"/>
    <col min="17" max="17" width="7.45" style="75" customWidth="1"/>
    <col min="18" max="25" width="9" style="75" customWidth="1"/>
    <col min="26" max="26" width="14.25" style="75" customWidth="1"/>
    <col min="27" max="16384" width="9" style="75"/>
  </cols>
  <sheetData>
    <row r="1" ht="14.25" customHeight="1" spans="1:28">
      <c r="A1" s="81" t="s">
        <v>0</v>
      </c>
      <c r="B1" s="81"/>
      <c r="C1" s="82"/>
      <c r="D1" s="81"/>
      <c r="E1" s="81"/>
      <c r="F1" s="81"/>
      <c r="G1" s="81"/>
      <c r="H1" s="83"/>
      <c r="I1" s="81"/>
      <c r="J1" s="92"/>
      <c r="K1" s="81"/>
      <c r="L1" s="93"/>
      <c r="M1" s="93"/>
      <c r="N1" s="81"/>
      <c r="O1" s="94"/>
      <c r="P1" s="81"/>
      <c r="Q1" s="81"/>
      <c r="R1" s="81"/>
      <c r="S1" s="100" t="s">
        <v>353</v>
      </c>
      <c r="T1" s="100"/>
      <c r="U1" s="101"/>
      <c r="V1" s="102"/>
      <c r="W1" s="101"/>
      <c r="X1" s="103" t="s">
        <v>1</v>
      </c>
      <c r="Y1" s="119"/>
      <c r="Z1" s="119"/>
      <c r="AA1" s="120"/>
      <c r="AB1" s="121"/>
    </row>
    <row r="2" ht="14.25" customHeight="1" spans="1:28">
      <c r="A2" s="81"/>
      <c r="B2" s="81"/>
      <c r="C2" s="82"/>
      <c r="D2" s="81"/>
      <c r="E2" s="81"/>
      <c r="F2" s="81"/>
      <c r="G2" s="81"/>
      <c r="H2" s="83"/>
      <c r="I2" s="81"/>
      <c r="J2" s="92"/>
      <c r="K2" s="81"/>
      <c r="L2" s="93"/>
      <c r="M2" s="93"/>
      <c r="N2" s="81"/>
      <c r="O2" s="94"/>
      <c r="P2" s="81"/>
      <c r="Q2" s="81"/>
      <c r="R2" s="81"/>
      <c r="S2" s="104"/>
      <c r="T2" s="104"/>
      <c r="U2" s="105"/>
      <c r="V2" s="106"/>
      <c r="W2" s="107"/>
      <c r="X2" s="108"/>
      <c r="Y2" s="122"/>
      <c r="Z2" s="122"/>
      <c r="AB2" s="121"/>
    </row>
    <row r="3" s="74" customFormat="1" ht="29" customHeight="1" spans="1:31">
      <c r="A3" s="84" t="s">
        <v>2</v>
      </c>
      <c r="B3" s="84" t="s">
        <v>3</v>
      </c>
      <c r="C3" s="85" t="s">
        <v>354</v>
      </c>
      <c r="D3" s="86" t="s">
        <v>4</v>
      </c>
      <c r="E3" s="87" t="s">
        <v>5</v>
      </c>
      <c r="F3" s="86" t="s">
        <v>6</v>
      </c>
      <c r="G3" s="86" t="s">
        <v>7</v>
      </c>
      <c r="H3" s="88" t="s">
        <v>8</v>
      </c>
      <c r="I3" s="86" t="s">
        <v>9</v>
      </c>
      <c r="J3" s="84" t="s">
        <v>10</v>
      </c>
      <c r="K3" s="86" t="s">
        <v>11</v>
      </c>
      <c r="L3" s="95" t="s">
        <v>12</v>
      </c>
      <c r="M3" s="95" t="s">
        <v>13</v>
      </c>
      <c r="N3" s="84" t="s">
        <v>14</v>
      </c>
      <c r="O3" s="96" t="s">
        <v>15</v>
      </c>
      <c r="P3" s="84" t="s">
        <v>16</v>
      </c>
      <c r="Q3" s="84" t="s">
        <v>552</v>
      </c>
      <c r="R3" s="84" t="s">
        <v>18</v>
      </c>
      <c r="S3" s="109" t="s">
        <v>355</v>
      </c>
      <c r="T3" s="109" t="s">
        <v>356</v>
      </c>
      <c r="U3" s="109" t="s">
        <v>357</v>
      </c>
      <c r="V3" s="110" t="s">
        <v>358</v>
      </c>
      <c r="W3" s="111" t="s">
        <v>359</v>
      </c>
      <c r="X3" s="112" t="s">
        <v>19</v>
      </c>
      <c r="Y3" s="123" t="s">
        <v>20</v>
      </c>
      <c r="Z3" s="124" t="s">
        <v>21</v>
      </c>
      <c r="AA3" s="119" t="s">
        <v>360</v>
      </c>
      <c r="AB3" s="125" t="s">
        <v>22</v>
      </c>
      <c r="AE3" s="74" t="s">
        <v>23</v>
      </c>
    </row>
    <row r="4" ht="14.25" customHeight="1" spans="1:28">
      <c r="A4" s="89"/>
      <c r="B4" s="89"/>
      <c r="C4" s="90" t="s">
        <v>361</v>
      </c>
      <c r="D4" s="90" t="s">
        <v>98</v>
      </c>
      <c r="E4" s="90" t="s">
        <v>553</v>
      </c>
      <c r="F4" s="90" t="s">
        <v>352</v>
      </c>
      <c r="G4" s="90" t="s">
        <v>554</v>
      </c>
      <c r="H4" s="91">
        <v>45145</v>
      </c>
      <c r="I4" s="90"/>
      <c r="J4" s="97" t="s">
        <v>269</v>
      </c>
      <c r="K4" s="90">
        <v>90</v>
      </c>
      <c r="L4" s="98">
        <v>2674.87</v>
      </c>
      <c r="M4" s="98">
        <v>3585</v>
      </c>
      <c r="N4" s="98">
        <f t="shared" ref="N4:N9" si="0">M4-L4</f>
        <v>910.13</v>
      </c>
      <c r="O4" s="99">
        <f t="shared" ref="O4:O35" si="1">IF(AND($N4&lt;&gt;0,$M4&lt;&gt;0),$N4/$M4,"")</f>
        <v>0.253871687587169</v>
      </c>
      <c r="P4" s="89">
        <f>M4*0.02</f>
        <v>71.7</v>
      </c>
      <c r="Q4" s="113">
        <f>P4*K4</f>
        <v>6453</v>
      </c>
      <c r="R4" s="58">
        <f t="shared" ref="R4:R35" si="2">IF(AND($P4&lt;&gt;0,$M4&lt;&gt;0),$P4/$M4,"")</f>
        <v>0.02</v>
      </c>
      <c r="S4" s="114">
        <f t="shared" ref="S4:S35" si="3">IF(AND(($N4*$K4-$Q4)&lt;&gt;0,($M4*$K4)&lt;&gt;0),($N4*$K4-$Q4)/($M4*$K4),"")</f>
        <v>0.233871687587169</v>
      </c>
      <c r="T4" s="115">
        <f t="shared" ref="T4:T35" si="4">IF($C4="深圳福达通",22%,IF($C4="康为",26%,IF($C4="新浪潮",26%,IF($C4="湖南飞英达",25%,IF($C4="志奋领",26%)))))</f>
        <v>0.22</v>
      </c>
      <c r="U4" s="116">
        <v>0.06</v>
      </c>
      <c r="V4" s="117">
        <f t="shared" ref="V4:V35" si="5">IF(T4-U4+R4&gt;0,T4-U4+R4,IF(T4-U4+R4=0,""))</f>
        <v>0.18</v>
      </c>
      <c r="W4" s="117" t="str">
        <f t="shared" ref="W4:W35" si="6">IF(S4-V4&lt;0,S4-V4,IF(S4-V4&gt;0,""))</f>
        <v/>
      </c>
      <c r="X4" s="118" t="str">
        <f>IFERROR(SUMIF(#REF!,$A4,#REF!),"")</f>
        <v/>
      </c>
      <c r="Y4" s="126" t="e">
        <f t="shared" ref="Y4:Y35" si="7">IF(AND(($N4*$K4-$X4)&lt;&gt;0,($M4*$K4)&lt;&gt;0),($N4*$K4-$X4)/($M4*$K4),"")</f>
        <v>#VALUE!</v>
      </c>
      <c r="Z4" s="127">
        <v>4100162713</v>
      </c>
      <c r="AA4" s="127"/>
      <c r="AB4" s="128" t="e">
        <f t="shared" ref="AB4:AB35" si="8">X4-Q4</f>
        <v>#VALUE!</v>
      </c>
    </row>
    <row r="5" ht="14.25" customHeight="1" spans="1:28">
      <c r="A5" s="89"/>
      <c r="B5" s="89"/>
      <c r="C5" s="90" t="s">
        <v>361</v>
      </c>
      <c r="D5" s="90" t="s">
        <v>98</v>
      </c>
      <c r="E5" s="90" t="s">
        <v>555</v>
      </c>
      <c r="F5" s="90" t="s">
        <v>352</v>
      </c>
      <c r="G5" s="90" t="s">
        <v>556</v>
      </c>
      <c r="H5" s="91">
        <v>45145</v>
      </c>
      <c r="I5" s="90"/>
      <c r="J5" s="97" t="s">
        <v>269</v>
      </c>
      <c r="K5" s="90">
        <v>60</v>
      </c>
      <c r="L5" s="98">
        <v>2674.87</v>
      </c>
      <c r="M5" s="98">
        <v>3585</v>
      </c>
      <c r="N5" s="98">
        <f t="shared" si="0"/>
        <v>910.13</v>
      </c>
      <c r="O5" s="99">
        <f t="shared" si="1"/>
        <v>0.253871687587169</v>
      </c>
      <c r="P5" s="89">
        <f t="shared" ref="P5:P36" si="9">M5*0.02</f>
        <v>71.7</v>
      </c>
      <c r="Q5" s="113">
        <f t="shared" ref="Q4:Q35" si="10">P5*K5</f>
        <v>4302</v>
      </c>
      <c r="R5" s="58">
        <f t="shared" si="2"/>
        <v>0.02</v>
      </c>
      <c r="S5" s="114">
        <f t="shared" si="3"/>
        <v>0.233871687587169</v>
      </c>
      <c r="T5" s="115">
        <f t="shared" si="4"/>
        <v>0.22</v>
      </c>
      <c r="U5" s="116">
        <v>0.06</v>
      </c>
      <c r="V5" s="117">
        <f t="shared" si="5"/>
        <v>0.18</v>
      </c>
      <c r="W5" s="117" t="str">
        <f t="shared" si="6"/>
        <v/>
      </c>
      <c r="X5" s="118" t="str">
        <f>IFERROR(SUMIF(#REF!,$A5,#REF!),"")</f>
        <v/>
      </c>
      <c r="Y5" s="126" t="e">
        <f t="shared" si="7"/>
        <v>#VALUE!</v>
      </c>
      <c r="Z5" s="127">
        <v>4100162706</v>
      </c>
      <c r="AA5" s="127"/>
      <c r="AB5" s="128" t="e">
        <f t="shared" si="8"/>
        <v>#VALUE!</v>
      </c>
    </row>
    <row r="6" ht="14.25" customHeight="1" spans="1:28">
      <c r="A6" s="89"/>
      <c r="B6" s="89"/>
      <c r="C6" s="90" t="s">
        <v>361</v>
      </c>
      <c r="D6" s="90" t="s">
        <v>98</v>
      </c>
      <c r="E6" s="90" t="s">
        <v>557</v>
      </c>
      <c r="F6" s="90" t="s">
        <v>352</v>
      </c>
      <c r="G6" s="90" t="s">
        <v>558</v>
      </c>
      <c r="H6" s="91">
        <v>45145</v>
      </c>
      <c r="I6" s="90"/>
      <c r="J6" s="97" t="s">
        <v>269</v>
      </c>
      <c r="K6" s="90">
        <v>100</v>
      </c>
      <c r="L6" s="98">
        <v>2674.87</v>
      </c>
      <c r="M6" s="98">
        <v>3585</v>
      </c>
      <c r="N6" s="98">
        <f t="shared" si="0"/>
        <v>910.13</v>
      </c>
      <c r="O6" s="99">
        <f t="shared" si="1"/>
        <v>0.253871687587169</v>
      </c>
      <c r="P6" s="89">
        <f t="shared" si="9"/>
        <v>71.7</v>
      </c>
      <c r="Q6" s="113">
        <f t="shared" si="10"/>
        <v>7170</v>
      </c>
      <c r="R6" s="58">
        <f t="shared" si="2"/>
        <v>0.02</v>
      </c>
      <c r="S6" s="114">
        <f t="shared" si="3"/>
        <v>0.233871687587169</v>
      </c>
      <c r="T6" s="115">
        <f t="shared" si="4"/>
        <v>0.22</v>
      </c>
      <c r="U6" s="116">
        <v>0.06</v>
      </c>
      <c r="V6" s="117">
        <f t="shared" si="5"/>
        <v>0.18</v>
      </c>
      <c r="W6" s="117" t="str">
        <f t="shared" si="6"/>
        <v/>
      </c>
      <c r="X6" s="118" t="str">
        <f>IFERROR(SUMIF(#REF!,$A6,#REF!),"")</f>
        <v/>
      </c>
      <c r="Y6" s="126" t="e">
        <f t="shared" si="7"/>
        <v>#VALUE!</v>
      </c>
      <c r="Z6" s="127">
        <v>4100162704</v>
      </c>
      <c r="AA6" s="127"/>
      <c r="AB6" s="128" t="e">
        <f t="shared" si="8"/>
        <v>#VALUE!</v>
      </c>
    </row>
    <row r="7" ht="14.25" customHeight="1" spans="1:28">
      <c r="A7" s="89"/>
      <c r="B7" s="89"/>
      <c r="C7" s="90" t="s">
        <v>361</v>
      </c>
      <c r="D7" s="90" t="s">
        <v>98</v>
      </c>
      <c r="E7" s="90" t="s">
        <v>559</v>
      </c>
      <c r="F7" s="90" t="s">
        <v>352</v>
      </c>
      <c r="G7" s="90" t="s">
        <v>560</v>
      </c>
      <c r="H7" s="91">
        <v>45145</v>
      </c>
      <c r="I7" s="90"/>
      <c r="J7" s="97" t="s">
        <v>328</v>
      </c>
      <c r="K7" s="90">
        <v>23</v>
      </c>
      <c r="L7" s="98">
        <v>2674.87</v>
      </c>
      <c r="M7" s="98">
        <v>3585</v>
      </c>
      <c r="N7" s="98">
        <f t="shared" si="0"/>
        <v>910.13</v>
      </c>
      <c r="O7" s="99">
        <f t="shared" si="1"/>
        <v>0.253871687587169</v>
      </c>
      <c r="P7" s="89">
        <f t="shared" si="9"/>
        <v>71.7</v>
      </c>
      <c r="Q7" s="113">
        <f t="shared" si="10"/>
        <v>1649.1</v>
      </c>
      <c r="R7" s="58">
        <f t="shared" si="2"/>
        <v>0.02</v>
      </c>
      <c r="S7" s="114">
        <f t="shared" si="3"/>
        <v>0.233871687587169</v>
      </c>
      <c r="T7" s="115">
        <f t="shared" si="4"/>
        <v>0.22</v>
      </c>
      <c r="U7" s="116">
        <v>0.06</v>
      </c>
      <c r="V7" s="117">
        <f t="shared" si="5"/>
        <v>0.18</v>
      </c>
      <c r="W7" s="117" t="str">
        <f t="shared" si="6"/>
        <v/>
      </c>
      <c r="X7" s="118" t="str">
        <f>IFERROR(SUMIF(#REF!,$A7,#REF!),"")</f>
        <v/>
      </c>
      <c r="Y7" s="126" t="e">
        <f t="shared" si="7"/>
        <v>#VALUE!</v>
      </c>
      <c r="Z7" s="127">
        <v>4100162695</v>
      </c>
      <c r="AA7" s="127"/>
      <c r="AB7" s="128" t="e">
        <f t="shared" si="8"/>
        <v>#VALUE!</v>
      </c>
    </row>
    <row r="8" ht="14.25" customHeight="1" spans="1:28">
      <c r="A8" s="89"/>
      <c r="B8" s="89"/>
      <c r="C8" s="90" t="s">
        <v>361</v>
      </c>
      <c r="D8" s="90" t="s">
        <v>98</v>
      </c>
      <c r="E8" s="90" t="s">
        <v>559</v>
      </c>
      <c r="F8" s="90" t="s">
        <v>352</v>
      </c>
      <c r="G8" s="90" t="s">
        <v>560</v>
      </c>
      <c r="H8" s="91">
        <v>45152</v>
      </c>
      <c r="I8" s="90"/>
      <c r="J8" s="97" t="s">
        <v>328</v>
      </c>
      <c r="K8" s="90">
        <v>57</v>
      </c>
      <c r="L8" s="98">
        <v>2674.87</v>
      </c>
      <c r="M8" s="98">
        <v>3585</v>
      </c>
      <c r="N8" s="98">
        <f t="shared" si="0"/>
        <v>910.13</v>
      </c>
      <c r="O8" s="99">
        <f t="shared" si="1"/>
        <v>0.253871687587169</v>
      </c>
      <c r="P8" s="89">
        <f t="shared" si="9"/>
        <v>71.7</v>
      </c>
      <c r="Q8" s="113">
        <f t="shared" si="10"/>
        <v>4086.9</v>
      </c>
      <c r="R8" s="58">
        <f t="shared" si="2"/>
        <v>0.02</v>
      </c>
      <c r="S8" s="114">
        <f t="shared" si="3"/>
        <v>0.233871687587169</v>
      </c>
      <c r="T8" s="115">
        <f t="shared" si="4"/>
        <v>0.22</v>
      </c>
      <c r="U8" s="116">
        <v>0.06</v>
      </c>
      <c r="V8" s="117">
        <f t="shared" si="5"/>
        <v>0.18</v>
      </c>
      <c r="W8" s="117" t="str">
        <f t="shared" si="6"/>
        <v/>
      </c>
      <c r="X8" s="118" t="str">
        <f>IFERROR(SUMIF(#REF!,$A8,#REF!),"")</f>
        <v/>
      </c>
      <c r="Y8" s="126" t="e">
        <f t="shared" si="7"/>
        <v>#VALUE!</v>
      </c>
      <c r="Z8" s="127">
        <v>4100163334</v>
      </c>
      <c r="AA8" s="127"/>
      <c r="AB8" s="128" t="e">
        <f t="shared" si="8"/>
        <v>#VALUE!</v>
      </c>
    </row>
    <row r="9" ht="14.25" customHeight="1" spans="1:28">
      <c r="A9" s="89"/>
      <c r="B9" s="89"/>
      <c r="C9" s="90" t="s">
        <v>361</v>
      </c>
      <c r="D9" s="90" t="s">
        <v>98</v>
      </c>
      <c r="E9" s="90" t="s">
        <v>561</v>
      </c>
      <c r="F9" s="90" t="s">
        <v>352</v>
      </c>
      <c r="G9" s="90" t="s">
        <v>562</v>
      </c>
      <c r="H9" s="91">
        <v>45167</v>
      </c>
      <c r="I9" s="90"/>
      <c r="J9" s="97" t="s">
        <v>563</v>
      </c>
      <c r="K9" s="90">
        <v>99</v>
      </c>
      <c r="L9" s="98">
        <v>2674.87</v>
      </c>
      <c r="M9" s="98">
        <v>3585</v>
      </c>
      <c r="N9" s="98">
        <f t="shared" si="0"/>
        <v>910.13</v>
      </c>
      <c r="O9" s="99">
        <f t="shared" si="1"/>
        <v>0.253871687587169</v>
      </c>
      <c r="P9" s="89">
        <f t="shared" si="9"/>
        <v>71.7</v>
      </c>
      <c r="Q9" s="113">
        <f t="shared" si="10"/>
        <v>7098.3</v>
      </c>
      <c r="R9" s="58">
        <f t="shared" si="2"/>
        <v>0.02</v>
      </c>
      <c r="S9" s="114">
        <f t="shared" si="3"/>
        <v>0.233871687587169</v>
      </c>
      <c r="T9" s="115">
        <f t="shared" si="4"/>
        <v>0.22</v>
      </c>
      <c r="U9" s="116">
        <v>0.06</v>
      </c>
      <c r="V9" s="117">
        <f t="shared" si="5"/>
        <v>0.18</v>
      </c>
      <c r="W9" s="117" t="str">
        <f t="shared" si="6"/>
        <v/>
      </c>
      <c r="X9" s="118" t="str">
        <f>IFERROR(SUMIF(#REF!,$A9,#REF!),"")</f>
        <v/>
      </c>
      <c r="Y9" s="126" t="e">
        <f t="shared" si="7"/>
        <v>#VALUE!</v>
      </c>
      <c r="Z9" s="127">
        <v>4100164904</v>
      </c>
      <c r="AA9" s="127"/>
      <c r="AB9" s="128" t="e">
        <f t="shared" si="8"/>
        <v>#VALUE!</v>
      </c>
    </row>
    <row r="10" ht="14.25" customHeight="1" spans="1:28">
      <c r="A10" s="89"/>
      <c r="B10" s="89"/>
      <c r="C10" s="90" t="s">
        <v>361</v>
      </c>
      <c r="D10" s="90" t="s">
        <v>98</v>
      </c>
      <c r="E10" s="90" t="s">
        <v>561</v>
      </c>
      <c r="F10" s="90" t="s">
        <v>352</v>
      </c>
      <c r="G10" s="90" t="s">
        <v>562</v>
      </c>
      <c r="H10" s="91">
        <v>45167</v>
      </c>
      <c r="I10" s="90"/>
      <c r="J10" s="97" t="s">
        <v>563</v>
      </c>
      <c r="K10" s="90">
        <v>1</v>
      </c>
      <c r="L10" s="98">
        <v>2674.87</v>
      </c>
      <c r="M10" s="98">
        <v>3585</v>
      </c>
      <c r="N10" s="98">
        <f t="shared" ref="N10:N17" si="11">M10-L10</f>
        <v>910.13</v>
      </c>
      <c r="O10" s="99">
        <f t="shared" si="1"/>
        <v>0.253871687587169</v>
      </c>
      <c r="P10" s="89">
        <f t="shared" si="9"/>
        <v>71.7</v>
      </c>
      <c r="Q10" s="113">
        <f t="shared" si="10"/>
        <v>71.7</v>
      </c>
      <c r="R10" s="58">
        <f t="shared" si="2"/>
        <v>0.02</v>
      </c>
      <c r="S10" s="114">
        <f t="shared" si="3"/>
        <v>0.233871687587169</v>
      </c>
      <c r="T10" s="115">
        <f t="shared" si="4"/>
        <v>0.22</v>
      </c>
      <c r="U10" s="116">
        <v>0.06</v>
      </c>
      <c r="V10" s="117">
        <f t="shared" si="5"/>
        <v>0.18</v>
      </c>
      <c r="W10" s="117" t="str">
        <f t="shared" si="6"/>
        <v/>
      </c>
      <c r="X10" s="118" t="str">
        <f>IFERROR(SUMIF(#REF!,$A10,#REF!),"")</f>
        <v/>
      </c>
      <c r="Y10" s="126" t="e">
        <f t="shared" si="7"/>
        <v>#VALUE!</v>
      </c>
      <c r="Z10" s="127">
        <v>4100164904</v>
      </c>
      <c r="AA10" s="127"/>
      <c r="AB10" s="128" t="e">
        <f t="shared" si="8"/>
        <v>#VALUE!</v>
      </c>
    </row>
    <row r="11" ht="14.25" customHeight="1" spans="1:28">
      <c r="A11" s="89"/>
      <c r="B11" s="89"/>
      <c r="C11" s="90" t="s">
        <v>361</v>
      </c>
      <c r="D11" s="90" t="s">
        <v>98</v>
      </c>
      <c r="E11" s="90" t="s">
        <v>564</v>
      </c>
      <c r="F11" s="90" t="s">
        <v>352</v>
      </c>
      <c r="G11" s="90" t="s">
        <v>126</v>
      </c>
      <c r="H11" s="91">
        <v>45189</v>
      </c>
      <c r="I11" s="90"/>
      <c r="J11" s="97" t="s">
        <v>284</v>
      </c>
      <c r="K11" s="90">
        <v>100</v>
      </c>
      <c r="L11" s="98">
        <v>2674.87</v>
      </c>
      <c r="M11" s="98">
        <v>3585</v>
      </c>
      <c r="N11" s="98">
        <f t="shared" si="11"/>
        <v>910.13</v>
      </c>
      <c r="O11" s="99">
        <f t="shared" si="1"/>
        <v>0.253871687587169</v>
      </c>
      <c r="P11" s="89">
        <f t="shared" si="9"/>
        <v>71.7</v>
      </c>
      <c r="Q11" s="113">
        <f t="shared" si="10"/>
        <v>7170</v>
      </c>
      <c r="R11" s="58">
        <f t="shared" si="2"/>
        <v>0.02</v>
      </c>
      <c r="S11" s="114">
        <f t="shared" si="3"/>
        <v>0.233871687587169</v>
      </c>
      <c r="T11" s="115">
        <f t="shared" si="4"/>
        <v>0.22</v>
      </c>
      <c r="U11" s="116">
        <v>0.06</v>
      </c>
      <c r="V11" s="117">
        <f t="shared" si="5"/>
        <v>0.18</v>
      </c>
      <c r="W11" s="117" t="str">
        <f t="shared" si="6"/>
        <v/>
      </c>
      <c r="X11" s="118" t="str">
        <f>IFERROR(SUMIF(#REF!,$A11,#REF!),"")</f>
        <v/>
      </c>
      <c r="Y11" s="126" t="e">
        <f t="shared" si="7"/>
        <v>#VALUE!</v>
      </c>
      <c r="Z11" s="127">
        <v>4100168336</v>
      </c>
      <c r="AA11" s="127"/>
      <c r="AB11" s="128" t="e">
        <f t="shared" si="8"/>
        <v>#VALUE!</v>
      </c>
    </row>
    <row r="12" ht="14.25" customHeight="1" spans="1:28">
      <c r="A12" s="89"/>
      <c r="B12" s="89"/>
      <c r="C12" s="90" t="s">
        <v>361</v>
      </c>
      <c r="D12" s="90" t="s">
        <v>98</v>
      </c>
      <c r="E12" s="90" t="s">
        <v>555</v>
      </c>
      <c r="F12" s="90" t="s">
        <v>352</v>
      </c>
      <c r="G12" s="90" t="s">
        <v>556</v>
      </c>
      <c r="H12" s="91">
        <v>45194</v>
      </c>
      <c r="I12" s="90"/>
      <c r="J12" s="97" t="s">
        <v>269</v>
      </c>
      <c r="K12" s="90">
        <v>38</v>
      </c>
      <c r="L12" s="98">
        <v>2674.87</v>
      </c>
      <c r="M12" s="98">
        <v>3585</v>
      </c>
      <c r="N12" s="98">
        <f t="shared" si="11"/>
        <v>910.13</v>
      </c>
      <c r="O12" s="99">
        <f t="shared" si="1"/>
        <v>0.253871687587169</v>
      </c>
      <c r="P12" s="89">
        <f t="shared" si="9"/>
        <v>71.7</v>
      </c>
      <c r="Q12" s="113">
        <f t="shared" si="10"/>
        <v>2724.6</v>
      </c>
      <c r="R12" s="58">
        <f t="shared" si="2"/>
        <v>0.02</v>
      </c>
      <c r="S12" s="114">
        <f t="shared" si="3"/>
        <v>0.233871687587169</v>
      </c>
      <c r="T12" s="115">
        <f t="shared" si="4"/>
        <v>0.22</v>
      </c>
      <c r="U12" s="116">
        <v>0.06</v>
      </c>
      <c r="V12" s="117">
        <f t="shared" si="5"/>
        <v>0.18</v>
      </c>
      <c r="W12" s="117" t="str">
        <f t="shared" si="6"/>
        <v/>
      </c>
      <c r="X12" s="118" t="str">
        <f>IFERROR(SUMIF(#REF!,$A12,#REF!),"")</f>
        <v/>
      </c>
      <c r="Y12" s="126" t="e">
        <f t="shared" si="7"/>
        <v>#VALUE!</v>
      </c>
      <c r="Z12" s="127">
        <v>4100168828</v>
      </c>
      <c r="AA12" s="127"/>
      <c r="AB12" s="128" t="e">
        <f t="shared" si="8"/>
        <v>#VALUE!</v>
      </c>
    </row>
    <row r="13" ht="14.25" customHeight="1" spans="1:28">
      <c r="A13" s="89"/>
      <c r="B13" s="89"/>
      <c r="C13" s="90" t="s">
        <v>361</v>
      </c>
      <c r="D13" s="90" t="s">
        <v>98</v>
      </c>
      <c r="E13" s="90" t="s">
        <v>553</v>
      </c>
      <c r="F13" s="90" t="s">
        <v>352</v>
      </c>
      <c r="G13" s="90" t="s">
        <v>554</v>
      </c>
      <c r="H13" s="91">
        <v>45194</v>
      </c>
      <c r="I13" s="90"/>
      <c r="J13" s="97" t="s">
        <v>269</v>
      </c>
      <c r="K13" s="90">
        <v>50</v>
      </c>
      <c r="L13" s="98">
        <v>2674.87</v>
      </c>
      <c r="M13" s="98">
        <v>3585</v>
      </c>
      <c r="N13" s="98">
        <f t="shared" si="11"/>
        <v>910.13</v>
      </c>
      <c r="O13" s="99">
        <f t="shared" si="1"/>
        <v>0.253871687587169</v>
      </c>
      <c r="P13" s="89">
        <f t="shared" si="9"/>
        <v>71.7</v>
      </c>
      <c r="Q13" s="113">
        <f t="shared" si="10"/>
        <v>3585</v>
      </c>
      <c r="R13" s="58">
        <f t="shared" si="2"/>
        <v>0.02</v>
      </c>
      <c r="S13" s="114">
        <f t="shared" si="3"/>
        <v>0.233871687587169</v>
      </c>
      <c r="T13" s="115">
        <f t="shared" si="4"/>
        <v>0.22</v>
      </c>
      <c r="U13" s="116">
        <v>0.06</v>
      </c>
      <c r="V13" s="117">
        <f t="shared" si="5"/>
        <v>0.18</v>
      </c>
      <c r="W13" s="117" t="str">
        <f t="shared" si="6"/>
        <v/>
      </c>
      <c r="X13" s="118" t="str">
        <f>IFERROR(SUMIF(#REF!,$A13,#REF!),"")</f>
        <v/>
      </c>
      <c r="Y13" s="126" t="e">
        <f t="shared" si="7"/>
        <v>#VALUE!</v>
      </c>
      <c r="Z13" s="127">
        <v>4100168827</v>
      </c>
      <c r="AA13" s="127"/>
      <c r="AB13" s="128" t="e">
        <f t="shared" si="8"/>
        <v>#VALUE!</v>
      </c>
    </row>
    <row r="14" ht="14.25" customHeight="1" spans="1:28">
      <c r="A14" s="89"/>
      <c r="B14" s="89"/>
      <c r="C14" s="90" t="s">
        <v>361</v>
      </c>
      <c r="D14" s="90" t="s">
        <v>98</v>
      </c>
      <c r="E14" s="90" t="s">
        <v>565</v>
      </c>
      <c r="F14" s="90" t="s">
        <v>352</v>
      </c>
      <c r="G14" s="90" t="s">
        <v>566</v>
      </c>
      <c r="H14" s="91">
        <v>45196</v>
      </c>
      <c r="I14" s="90"/>
      <c r="J14" s="97" t="s">
        <v>567</v>
      </c>
      <c r="K14" s="90">
        <v>1</v>
      </c>
      <c r="L14" s="98">
        <v>1061.94690265487</v>
      </c>
      <c r="M14" s="98">
        <v>1345</v>
      </c>
      <c r="N14" s="98">
        <f t="shared" si="11"/>
        <v>283.05309734513</v>
      </c>
      <c r="O14" s="99">
        <f t="shared" si="1"/>
        <v>0.210448399513108</v>
      </c>
      <c r="P14" s="89">
        <f t="shared" si="9"/>
        <v>26.9</v>
      </c>
      <c r="Q14" s="113">
        <f t="shared" si="10"/>
        <v>26.9</v>
      </c>
      <c r="R14" s="58">
        <f t="shared" si="2"/>
        <v>0.02</v>
      </c>
      <c r="S14" s="114">
        <f t="shared" si="3"/>
        <v>0.190448399513108</v>
      </c>
      <c r="T14" s="115">
        <f t="shared" si="4"/>
        <v>0.22</v>
      </c>
      <c r="U14" s="116">
        <v>0.06</v>
      </c>
      <c r="V14" s="117">
        <f t="shared" si="5"/>
        <v>0.18</v>
      </c>
      <c r="W14" s="117" t="str">
        <f t="shared" si="6"/>
        <v/>
      </c>
      <c r="X14" s="118" t="str">
        <f>IFERROR(SUMIF(#REF!,$A14,#REF!),"")</f>
        <v/>
      </c>
      <c r="Y14" s="126" t="e">
        <f t="shared" si="7"/>
        <v>#VALUE!</v>
      </c>
      <c r="Z14" s="127">
        <v>5911680958</v>
      </c>
      <c r="AA14" s="127"/>
      <c r="AB14" s="128" t="e">
        <f t="shared" si="8"/>
        <v>#VALUE!</v>
      </c>
    </row>
    <row r="15" ht="14.25" customHeight="1" spans="1:28">
      <c r="A15" s="89"/>
      <c r="B15" s="89"/>
      <c r="C15" s="90" t="s">
        <v>361</v>
      </c>
      <c r="D15" s="90" t="s">
        <v>98</v>
      </c>
      <c r="E15" s="90" t="s">
        <v>565</v>
      </c>
      <c r="F15" s="90" t="s">
        <v>352</v>
      </c>
      <c r="G15" s="90" t="s">
        <v>568</v>
      </c>
      <c r="H15" s="91">
        <v>45197</v>
      </c>
      <c r="I15" s="90"/>
      <c r="J15" s="97" t="s">
        <v>569</v>
      </c>
      <c r="K15" s="90">
        <v>1</v>
      </c>
      <c r="L15" s="98">
        <v>398.230088495575</v>
      </c>
      <c r="M15" s="98">
        <v>597</v>
      </c>
      <c r="N15" s="98">
        <f t="shared" si="11"/>
        <v>198.769911504425</v>
      </c>
      <c r="O15" s="99">
        <f t="shared" si="1"/>
        <v>0.332947925468049</v>
      </c>
      <c r="P15" s="89">
        <f t="shared" si="9"/>
        <v>11.94</v>
      </c>
      <c r="Q15" s="113">
        <f t="shared" si="10"/>
        <v>11.94</v>
      </c>
      <c r="R15" s="58">
        <f t="shared" si="2"/>
        <v>0.02</v>
      </c>
      <c r="S15" s="114">
        <f t="shared" si="3"/>
        <v>0.312947925468049</v>
      </c>
      <c r="T15" s="115">
        <f t="shared" si="4"/>
        <v>0.22</v>
      </c>
      <c r="U15" s="116">
        <v>0.06</v>
      </c>
      <c r="V15" s="117">
        <f t="shared" si="5"/>
        <v>0.18</v>
      </c>
      <c r="W15" s="117" t="str">
        <f t="shared" si="6"/>
        <v/>
      </c>
      <c r="X15" s="118" t="str">
        <f>IFERROR(SUMIF(#REF!,$A15,#REF!),"")</f>
        <v/>
      </c>
      <c r="Y15" s="126" t="e">
        <f t="shared" si="7"/>
        <v>#VALUE!</v>
      </c>
      <c r="Z15" s="127">
        <v>5911708996</v>
      </c>
      <c r="AA15" s="127"/>
      <c r="AB15" s="128" t="e">
        <f t="shared" si="8"/>
        <v>#VALUE!</v>
      </c>
    </row>
    <row r="16" ht="14.25" customHeight="1" spans="1:28">
      <c r="A16" s="89"/>
      <c r="B16" s="89"/>
      <c r="C16" s="90" t="s">
        <v>361</v>
      </c>
      <c r="D16" s="90" t="s">
        <v>98</v>
      </c>
      <c r="E16" s="90" t="s">
        <v>565</v>
      </c>
      <c r="F16" s="90" t="s">
        <v>352</v>
      </c>
      <c r="G16" s="90" t="s">
        <v>570</v>
      </c>
      <c r="H16" s="91">
        <v>45197</v>
      </c>
      <c r="I16" s="90"/>
      <c r="J16" s="97" t="s">
        <v>571</v>
      </c>
      <c r="K16" s="90">
        <v>3</v>
      </c>
      <c r="L16" s="98">
        <v>3953.92</v>
      </c>
      <c r="M16" s="98">
        <v>5545</v>
      </c>
      <c r="N16" s="98">
        <f t="shared" si="11"/>
        <v>1591.08</v>
      </c>
      <c r="O16" s="99">
        <f t="shared" si="1"/>
        <v>0.286939585211903</v>
      </c>
      <c r="P16" s="89">
        <f t="shared" si="9"/>
        <v>110.9</v>
      </c>
      <c r="Q16" s="113">
        <f t="shared" si="10"/>
        <v>332.7</v>
      </c>
      <c r="R16" s="58">
        <f t="shared" si="2"/>
        <v>0.02</v>
      </c>
      <c r="S16" s="114">
        <f t="shared" si="3"/>
        <v>0.266939585211903</v>
      </c>
      <c r="T16" s="115">
        <f t="shared" si="4"/>
        <v>0.22</v>
      </c>
      <c r="U16" s="116">
        <v>0.06</v>
      </c>
      <c r="V16" s="117">
        <f t="shared" si="5"/>
        <v>0.18</v>
      </c>
      <c r="W16" s="117" t="str">
        <f t="shared" si="6"/>
        <v/>
      </c>
      <c r="X16" s="118" t="str">
        <f>IFERROR(SUMIF(#REF!,$A16,#REF!),"")</f>
        <v/>
      </c>
      <c r="Y16" s="126" t="e">
        <f t="shared" si="7"/>
        <v>#VALUE!</v>
      </c>
      <c r="Z16" s="127">
        <v>5911708847</v>
      </c>
      <c r="AA16" s="127"/>
      <c r="AB16" s="128" t="e">
        <f t="shared" si="8"/>
        <v>#VALUE!</v>
      </c>
    </row>
    <row r="17" ht="14.25" customHeight="1" spans="1:28">
      <c r="A17" s="89"/>
      <c r="B17" s="89"/>
      <c r="C17" s="90" t="s">
        <v>361</v>
      </c>
      <c r="D17" s="90" t="s">
        <v>98</v>
      </c>
      <c r="E17" s="90" t="s">
        <v>565</v>
      </c>
      <c r="F17" s="90" t="s">
        <v>352</v>
      </c>
      <c r="G17" s="90" t="s">
        <v>572</v>
      </c>
      <c r="H17" s="91">
        <v>45208</v>
      </c>
      <c r="I17" s="90"/>
      <c r="J17" s="97" t="s">
        <v>573</v>
      </c>
      <c r="K17" s="90">
        <v>10</v>
      </c>
      <c r="L17" s="98">
        <v>539.823008849558</v>
      </c>
      <c r="M17" s="98">
        <v>645</v>
      </c>
      <c r="N17" s="98">
        <f t="shared" si="11"/>
        <v>105.176991150442</v>
      </c>
      <c r="O17" s="99">
        <f t="shared" si="1"/>
        <v>0.163065102558825</v>
      </c>
      <c r="P17" s="89">
        <f t="shared" si="9"/>
        <v>12.9</v>
      </c>
      <c r="Q17" s="113">
        <f t="shared" si="10"/>
        <v>129</v>
      </c>
      <c r="R17" s="58">
        <f t="shared" si="2"/>
        <v>0.02</v>
      </c>
      <c r="S17" s="114">
        <f t="shared" si="3"/>
        <v>0.143065102558825</v>
      </c>
      <c r="T17" s="115">
        <f t="shared" si="4"/>
        <v>0.22</v>
      </c>
      <c r="U17" s="116">
        <v>0.06</v>
      </c>
      <c r="V17" s="117">
        <f t="shared" si="5"/>
        <v>0.18</v>
      </c>
      <c r="W17" s="117">
        <f t="shared" si="6"/>
        <v>-0.0369348974411753</v>
      </c>
      <c r="X17" s="118" t="str">
        <f>IFERROR(SUMIF(#REF!,$A17,#REF!),"")</f>
        <v/>
      </c>
      <c r="Y17" s="126" t="e">
        <f t="shared" si="7"/>
        <v>#VALUE!</v>
      </c>
      <c r="Z17" s="127">
        <v>5911742374</v>
      </c>
      <c r="AA17" s="127"/>
      <c r="AB17" s="128" t="e">
        <f t="shared" si="8"/>
        <v>#VALUE!</v>
      </c>
    </row>
    <row r="18" ht="14.25" customHeight="1" spans="1:28">
      <c r="A18" s="89"/>
      <c r="B18" s="89"/>
      <c r="C18" s="90" t="s">
        <v>361</v>
      </c>
      <c r="D18" s="90" t="s">
        <v>98</v>
      </c>
      <c r="E18" s="90" t="s">
        <v>565</v>
      </c>
      <c r="F18" s="90" t="s">
        <v>352</v>
      </c>
      <c r="G18" s="90" t="s">
        <v>574</v>
      </c>
      <c r="H18" s="91">
        <v>45208</v>
      </c>
      <c r="I18" s="90"/>
      <c r="J18" s="97" t="s">
        <v>575</v>
      </c>
      <c r="K18" s="90">
        <v>3</v>
      </c>
      <c r="L18" s="98">
        <v>1769.91150442478</v>
      </c>
      <c r="M18" s="98">
        <v>2417</v>
      </c>
      <c r="N18" s="98">
        <f t="shared" ref="N18:N49" si="12">M18-L18</f>
        <v>647.08849557522</v>
      </c>
      <c r="O18" s="99">
        <f t="shared" si="1"/>
        <v>0.267723829365006</v>
      </c>
      <c r="P18" s="89">
        <f t="shared" si="9"/>
        <v>48.34</v>
      </c>
      <c r="Q18" s="113">
        <f t="shared" si="10"/>
        <v>145.02</v>
      </c>
      <c r="R18" s="58">
        <f t="shared" si="2"/>
        <v>0.02</v>
      </c>
      <c r="S18" s="114">
        <f t="shared" si="3"/>
        <v>0.247723829365006</v>
      </c>
      <c r="T18" s="115">
        <f t="shared" si="4"/>
        <v>0.22</v>
      </c>
      <c r="U18" s="116">
        <v>0.06</v>
      </c>
      <c r="V18" s="117">
        <f t="shared" si="5"/>
        <v>0.18</v>
      </c>
      <c r="W18" s="117" t="str">
        <f t="shared" si="6"/>
        <v/>
      </c>
      <c r="X18" s="118" t="str">
        <f>IFERROR(SUMIF(#REF!,$A18,#REF!),"")</f>
        <v/>
      </c>
      <c r="Y18" s="126" t="e">
        <f t="shared" si="7"/>
        <v>#VALUE!</v>
      </c>
      <c r="Z18" s="127">
        <v>5911742059</v>
      </c>
      <c r="AA18" s="127"/>
      <c r="AB18" s="128" t="e">
        <f t="shared" si="8"/>
        <v>#VALUE!</v>
      </c>
    </row>
    <row r="19" ht="14.25" customHeight="1" spans="1:28">
      <c r="A19" s="89"/>
      <c r="B19" s="89"/>
      <c r="C19" s="90" t="s">
        <v>361</v>
      </c>
      <c r="D19" s="90" t="s">
        <v>98</v>
      </c>
      <c r="E19" s="90" t="s">
        <v>565</v>
      </c>
      <c r="F19" s="90" t="s">
        <v>352</v>
      </c>
      <c r="G19" s="90" t="s">
        <v>576</v>
      </c>
      <c r="H19" s="91">
        <v>45209</v>
      </c>
      <c r="I19" s="90"/>
      <c r="J19" s="97" t="s">
        <v>573</v>
      </c>
      <c r="K19" s="90">
        <v>2</v>
      </c>
      <c r="L19" s="98">
        <v>539.823008849558</v>
      </c>
      <c r="M19" s="98">
        <v>645</v>
      </c>
      <c r="N19" s="98">
        <f t="shared" si="12"/>
        <v>105.176991150442</v>
      </c>
      <c r="O19" s="99">
        <f t="shared" si="1"/>
        <v>0.163065102558825</v>
      </c>
      <c r="P19" s="89">
        <f t="shared" si="9"/>
        <v>12.9</v>
      </c>
      <c r="Q19" s="113">
        <f t="shared" si="10"/>
        <v>25.8</v>
      </c>
      <c r="R19" s="58">
        <f t="shared" si="2"/>
        <v>0.02</v>
      </c>
      <c r="S19" s="114">
        <f t="shared" si="3"/>
        <v>0.143065102558825</v>
      </c>
      <c r="T19" s="115">
        <f t="shared" si="4"/>
        <v>0.22</v>
      </c>
      <c r="U19" s="116">
        <v>0.06</v>
      </c>
      <c r="V19" s="117">
        <f t="shared" si="5"/>
        <v>0.18</v>
      </c>
      <c r="W19" s="117">
        <f t="shared" si="6"/>
        <v>-0.0369348974411753</v>
      </c>
      <c r="X19" s="118" t="str">
        <f>IFERROR(SUMIF(#REF!,$A19,#REF!),"")</f>
        <v/>
      </c>
      <c r="Y19" s="126" t="e">
        <f t="shared" si="7"/>
        <v>#VALUE!</v>
      </c>
      <c r="Z19" s="127">
        <v>5911751419</v>
      </c>
      <c r="AA19" s="127"/>
      <c r="AB19" s="128" t="e">
        <f t="shared" si="8"/>
        <v>#VALUE!</v>
      </c>
    </row>
    <row r="20" ht="14.25" customHeight="1" spans="1:28">
      <c r="A20" s="89"/>
      <c r="B20" s="89"/>
      <c r="C20" s="90" t="s">
        <v>361</v>
      </c>
      <c r="D20" s="90" t="s">
        <v>98</v>
      </c>
      <c r="E20" s="90" t="s">
        <v>565</v>
      </c>
      <c r="F20" s="90" t="s">
        <v>352</v>
      </c>
      <c r="G20" s="90" t="s">
        <v>577</v>
      </c>
      <c r="H20" s="91">
        <v>45209</v>
      </c>
      <c r="I20" s="90"/>
      <c r="J20" s="97" t="s">
        <v>578</v>
      </c>
      <c r="K20" s="90">
        <v>6</v>
      </c>
      <c r="L20" s="98">
        <v>2194.69026548673</v>
      </c>
      <c r="M20" s="98">
        <v>3257</v>
      </c>
      <c r="N20" s="98">
        <f t="shared" si="12"/>
        <v>1062.30973451327</v>
      </c>
      <c r="O20" s="99">
        <f t="shared" si="1"/>
        <v>0.326162030860691</v>
      </c>
      <c r="P20" s="89">
        <f t="shared" si="9"/>
        <v>65.14</v>
      </c>
      <c r="Q20" s="113">
        <f t="shared" si="10"/>
        <v>390.84</v>
      </c>
      <c r="R20" s="58">
        <f t="shared" si="2"/>
        <v>0.02</v>
      </c>
      <c r="S20" s="114">
        <f t="shared" si="3"/>
        <v>0.306162030860691</v>
      </c>
      <c r="T20" s="115">
        <f t="shared" si="4"/>
        <v>0.22</v>
      </c>
      <c r="U20" s="116">
        <v>0.06</v>
      </c>
      <c r="V20" s="117">
        <f t="shared" si="5"/>
        <v>0.18</v>
      </c>
      <c r="W20" s="117" t="str">
        <f t="shared" si="6"/>
        <v/>
      </c>
      <c r="X20" s="118" t="str">
        <f>IFERROR(SUMIF(#REF!,$A20,#REF!),"")</f>
        <v/>
      </c>
      <c r="Y20" s="126" t="e">
        <f t="shared" si="7"/>
        <v>#VALUE!</v>
      </c>
      <c r="Z20" s="127">
        <v>5911751414</v>
      </c>
      <c r="AA20" s="127"/>
      <c r="AB20" s="128" t="e">
        <f t="shared" si="8"/>
        <v>#VALUE!</v>
      </c>
    </row>
    <row r="21" ht="14.25" customHeight="1" spans="1:28">
      <c r="A21" s="89"/>
      <c r="B21" s="89"/>
      <c r="C21" s="90" t="s">
        <v>361</v>
      </c>
      <c r="D21" s="90" t="s">
        <v>98</v>
      </c>
      <c r="E21" s="90" t="s">
        <v>565</v>
      </c>
      <c r="F21" s="90" t="s">
        <v>352</v>
      </c>
      <c r="G21" s="90" t="s">
        <v>570</v>
      </c>
      <c r="H21" s="91">
        <v>45211</v>
      </c>
      <c r="I21" s="90"/>
      <c r="J21" s="97" t="s">
        <v>579</v>
      </c>
      <c r="K21" s="90">
        <v>1</v>
      </c>
      <c r="L21" s="98">
        <v>2168.14159292035</v>
      </c>
      <c r="M21" s="98">
        <v>2550</v>
      </c>
      <c r="N21" s="98">
        <f t="shared" si="12"/>
        <v>381.85840707965</v>
      </c>
      <c r="O21" s="99">
        <f t="shared" si="1"/>
        <v>0.149748394933196</v>
      </c>
      <c r="P21" s="89">
        <f t="shared" si="9"/>
        <v>51</v>
      </c>
      <c r="Q21" s="113">
        <f t="shared" si="10"/>
        <v>51</v>
      </c>
      <c r="R21" s="58">
        <f t="shared" si="2"/>
        <v>0.02</v>
      </c>
      <c r="S21" s="114">
        <f t="shared" si="3"/>
        <v>0.129748394933196</v>
      </c>
      <c r="T21" s="115">
        <f t="shared" si="4"/>
        <v>0.22</v>
      </c>
      <c r="U21" s="116">
        <v>0.06</v>
      </c>
      <c r="V21" s="117">
        <f t="shared" si="5"/>
        <v>0.18</v>
      </c>
      <c r="W21" s="117">
        <f t="shared" si="6"/>
        <v>-0.0502516050668039</v>
      </c>
      <c r="X21" s="118" t="str">
        <f>IFERROR(SUMIF(#REF!,$A21,#REF!),"")</f>
        <v/>
      </c>
      <c r="Y21" s="126" t="e">
        <f t="shared" si="7"/>
        <v>#VALUE!</v>
      </c>
      <c r="Z21" s="127">
        <v>5911776445</v>
      </c>
      <c r="AA21" s="127"/>
      <c r="AB21" s="128" t="e">
        <f t="shared" si="8"/>
        <v>#VALUE!</v>
      </c>
    </row>
    <row r="22" ht="14.25" customHeight="1" spans="1:28">
      <c r="A22" s="89"/>
      <c r="B22" s="89"/>
      <c r="C22" s="90" t="s">
        <v>361</v>
      </c>
      <c r="D22" s="90" t="s">
        <v>98</v>
      </c>
      <c r="E22" s="90" t="s">
        <v>565</v>
      </c>
      <c r="F22" s="90" t="s">
        <v>352</v>
      </c>
      <c r="G22" s="90" t="s">
        <v>580</v>
      </c>
      <c r="H22" s="91">
        <v>45212</v>
      </c>
      <c r="I22" s="90"/>
      <c r="J22" s="97" t="s">
        <v>581</v>
      </c>
      <c r="K22" s="90">
        <v>3</v>
      </c>
      <c r="L22" s="98">
        <v>1973.45132743363</v>
      </c>
      <c r="M22" s="98">
        <v>2527</v>
      </c>
      <c r="N22" s="98">
        <f t="shared" si="12"/>
        <v>553.54867256637</v>
      </c>
      <c r="O22" s="99">
        <f t="shared" si="1"/>
        <v>0.219053689183368</v>
      </c>
      <c r="P22" s="89">
        <f t="shared" si="9"/>
        <v>50.54</v>
      </c>
      <c r="Q22" s="113">
        <f t="shared" si="10"/>
        <v>151.62</v>
      </c>
      <c r="R22" s="58">
        <f t="shared" si="2"/>
        <v>0.02</v>
      </c>
      <c r="S22" s="114">
        <f t="shared" si="3"/>
        <v>0.199053689183368</v>
      </c>
      <c r="T22" s="115">
        <f t="shared" si="4"/>
        <v>0.22</v>
      </c>
      <c r="U22" s="116">
        <v>0.06</v>
      </c>
      <c r="V22" s="117">
        <f t="shared" si="5"/>
        <v>0.18</v>
      </c>
      <c r="W22" s="117" t="str">
        <f t="shared" si="6"/>
        <v/>
      </c>
      <c r="X22" s="118" t="str">
        <f>IFERROR(SUMIF(#REF!,$A22,#REF!),"")</f>
        <v/>
      </c>
      <c r="Y22" s="126" t="e">
        <f t="shared" si="7"/>
        <v>#VALUE!</v>
      </c>
      <c r="Z22" s="127">
        <v>5911786532</v>
      </c>
      <c r="AA22" s="127"/>
      <c r="AB22" s="128" t="e">
        <f t="shared" si="8"/>
        <v>#VALUE!</v>
      </c>
    </row>
    <row r="23" ht="14.25" customHeight="1" spans="1:28">
      <c r="A23" s="89"/>
      <c r="B23" s="89"/>
      <c r="C23" s="90" t="s">
        <v>361</v>
      </c>
      <c r="D23" s="90" t="s">
        <v>98</v>
      </c>
      <c r="E23" s="90" t="s">
        <v>565</v>
      </c>
      <c r="F23" s="90" t="s">
        <v>352</v>
      </c>
      <c r="G23" s="90" t="s">
        <v>582</v>
      </c>
      <c r="H23" s="91">
        <v>45216</v>
      </c>
      <c r="I23" s="90"/>
      <c r="J23" s="97" t="s">
        <v>583</v>
      </c>
      <c r="K23" s="90">
        <v>1</v>
      </c>
      <c r="L23" s="98">
        <v>557.522123893805</v>
      </c>
      <c r="M23" s="98">
        <v>685</v>
      </c>
      <c r="N23" s="98">
        <f t="shared" si="12"/>
        <v>127.477876106195</v>
      </c>
      <c r="O23" s="99">
        <f t="shared" si="1"/>
        <v>0.186099089206124</v>
      </c>
      <c r="P23" s="89">
        <f t="shared" si="9"/>
        <v>13.7</v>
      </c>
      <c r="Q23" s="113">
        <f t="shared" si="10"/>
        <v>13.7</v>
      </c>
      <c r="R23" s="58">
        <f t="shared" si="2"/>
        <v>0.02</v>
      </c>
      <c r="S23" s="114">
        <f t="shared" si="3"/>
        <v>0.166099089206124</v>
      </c>
      <c r="T23" s="115">
        <f t="shared" si="4"/>
        <v>0.22</v>
      </c>
      <c r="U23" s="116">
        <v>0.06</v>
      </c>
      <c r="V23" s="117">
        <f t="shared" si="5"/>
        <v>0.18</v>
      </c>
      <c r="W23" s="117">
        <f t="shared" si="6"/>
        <v>-0.0139009107938759</v>
      </c>
      <c r="X23" s="118" t="str">
        <f>IFERROR(SUMIF(#REF!,$A23,#REF!),"")</f>
        <v/>
      </c>
      <c r="Y23" s="126" t="e">
        <f t="shared" si="7"/>
        <v>#VALUE!</v>
      </c>
      <c r="Z23" s="127">
        <v>5911812293</v>
      </c>
      <c r="AA23" s="127"/>
      <c r="AB23" s="128" t="e">
        <f t="shared" si="8"/>
        <v>#VALUE!</v>
      </c>
    </row>
    <row r="24" ht="14.25" customHeight="1" spans="1:28">
      <c r="A24" s="89"/>
      <c r="B24" s="89"/>
      <c r="C24" s="90" t="s">
        <v>361</v>
      </c>
      <c r="D24" s="90" t="s">
        <v>98</v>
      </c>
      <c r="E24" s="90" t="s">
        <v>565</v>
      </c>
      <c r="F24" s="90" t="s">
        <v>352</v>
      </c>
      <c r="G24" s="90" t="s">
        <v>584</v>
      </c>
      <c r="H24" s="91">
        <v>45217</v>
      </c>
      <c r="I24" s="90"/>
      <c r="J24" s="97" t="s">
        <v>585</v>
      </c>
      <c r="K24" s="90">
        <v>3</v>
      </c>
      <c r="L24" s="98">
        <v>780.86</v>
      </c>
      <c r="M24" s="98">
        <v>975</v>
      </c>
      <c r="N24" s="98">
        <f t="shared" si="12"/>
        <v>194.14</v>
      </c>
      <c r="O24" s="99">
        <f t="shared" si="1"/>
        <v>0.199117948717949</v>
      </c>
      <c r="P24" s="89">
        <f t="shared" si="9"/>
        <v>19.5</v>
      </c>
      <c r="Q24" s="113">
        <f t="shared" si="10"/>
        <v>58.5</v>
      </c>
      <c r="R24" s="58">
        <f t="shared" si="2"/>
        <v>0.02</v>
      </c>
      <c r="S24" s="114">
        <f t="shared" si="3"/>
        <v>0.179117948717949</v>
      </c>
      <c r="T24" s="115">
        <f t="shared" si="4"/>
        <v>0.22</v>
      </c>
      <c r="U24" s="116">
        <v>0.06</v>
      </c>
      <c r="V24" s="117">
        <f t="shared" si="5"/>
        <v>0.18</v>
      </c>
      <c r="W24" s="117">
        <f t="shared" si="6"/>
        <v>-0.000882051282051294</v>
      </c>
      <c r="X24" s="118" t="str">
        <f>IFERROR(SUMIF(#REF!,$A24,#REF!),"")</f>
        <v/>
      </c>
      <c r="Y24" s="126" t="e">
        <f t="shared" si="7"/>
        <v>#VALUE!</v>
      </c>
      <c r="Z24" s="127">
        <v>5911830571</v>
      </c>
      <c r="AA24" s="127"/>
      <c r="AB24" s="128" t="e">
        <f t="shared" si="8"/>
        <v>#VALUE!</v>
      </c>
    </row>
    <row r="25" ht="14.25" customHeight="1" spans="1:28">
      <c r="A25" s="89"/>
      <c r="B25" s="89"/>
      <c r="C25" s="90" t="s">
        <v>361</v>
      </c>
      <c r="D25" s="90" t="s">
        <v>98</v>
      </c>
      <c r="E25" s="90" t="s">
        <v>586</v>
      </c>
      <c r="F25" s="90" t="s">
        <v>352</v>
      </c>
      <c r="G25" s="90" t="s">
        <v>587</v>
      </c>
      <c r="H25" s="91">
        <v>45218</v>
      </c>
      <c r="I25" s="90"/>
      <c r="J25" s="97" t="s">
        <v>328</v>
      </c>
      <c r="K25" s="90">
        <v>150</v>
      </c>
      <c r="L25" s="98">
        <v>2654.86725663717</v>
      </c>
      <c r="M25" s="98">
        <v>3585</v>
      </c>
      <c r="N25" s="98">
        <f t="shared" si="12"/>
        <v>930.13274336283</v>
      </c>
      <c r="O25" s="99">
        <f t="shared" si="1"/>
        <v>0.259451253378753</v>
      </c>
      <c r="P25" s="89">
        <f t="shared" si="9"/>
        <v>71.7</v>
      </c>
      <c r="Q25" s="113">
        <f t="shared" si="10"/>
        <v>10755</v>
      </c>
      <c r="R25" s="58">
        <f t="shared" si="2"/>
        <v>0.02</v>
      </c>
      <c r="S25" s="114">
        <f t="shared" si="3"/>
        <v>0.239451253378753</v>
      </c>
      <c r="T25" s="115">
        <f t="shared" si="4"/>
        <v>0.22</v>
      </c>
      <c r="U25" s="116">
        <v>0.06</v>
      </c>
      <c r="V25" s="117">
        <f t="shared" si="5"/>
        <v>0.18</v>
      </c>
      <c r="W25" s="117" t="str">
        <f t="shared" si="6"/>
        <v/>
      </c>
      <c r="X25" s="118" t="str">
        <f>IFERROR(SUMIF(#REF!,$A25,#REF!),"")</f>
        <v/>
      </c>
      <c r="Y25" s="126" t="e">
        <f t="shared" si="7"/>
        <v>#VALUE!</v>
      </c>
      <c r="Z25" s="127">
        <v>4100171839</v>
      </c>
      <c r="AA25" s="127"/>
      <c r="AB25" s="128" t="e">
        <f t="shared" si="8"/>
        <v>#VALUE!</v>
      </c>
    </row>
    <row r="26" ht="14.25" customHeight="1" spans="1:28">
      <c r="A26" s="89"/>
      <c r="B26" s="89"/>
      <c r="C26" s="90" t="s">
        <v>361</v>
      </c>
      <c r="D26" s="90" t="s">
        <v>98</v>
      </c>
      <c r="E26" s="90" t="s">
        <v>565</v>
      </c>
      <c r="F26" s="90" t="s">
        <v>352</v>
      </c>
      <c r="G26" s="90" t="s">
        <v>588</v>
      </c>
      <c r="H26" s="91">
        <v>45218</v>
      </c>
      <c r="I26" s="90"/>
      <c r="J26" s="97" t="s">
        <v>589</v>
      </c>
      <c r="K26" s="90">
        <v>1</v>
      </c>
      <c r="L26" s="98">
        <v>2017.69911504425</v>
      </c>
      <c r="M26" s="98">
        <v>2945</v>
      </c>
      <c r="N26" s="98">
        <f t="shared" si="12"/>
        <v>927.30088495575</v>
      </c>
      <c r="O26" s="99">
        <f t="shared" si="1"/>
        <v>0.314872966029117</v>
      </c>
      <c r="P26" s="89">
        <f t="shared" si="9"/>
        <v>58.9</v>
      </c>
      <c r="Q26" s="113">
        <f t="shared" si="10"/>
        <v>58.9</v>
      </c>
      <c r="R26" s="58">
        <f t="shared" si="2"/>
        <v>0.02</v>
      </c>
      <c r="S26" s="114">
        <f t="shared" si="3"/>
        <v>0.294872966029117</v>
      </c>
      <c r="T26" s="115">
        <f t="shared" si="4"/>
        <v>0.22</v>
      </c>
      <c r="U26" s="116">
        <v>0.06</v>
      </c>
      <c r="V26" s="117">
        <f t="shared" si="5"/>
        <v>0.18</v>
      </c>
      <c r="W26" s="117" t="str">
        <f t="shared" si="6"/>
        <v/>
      </c>
      <c r="X26" s="118" t="str">
        <f>IFERROR(SUMIF(#REF!,$A26,#REF!),"")</f>
        <v/>
      </c>
      <c r="Y26" s="126" t="e">
        <f t="shared" si="7"/>
        <v>#VALUE!</v>
      </c>
      <c r="Z26" s="127">
        <v>5911854112</v>
      </c>
      <c r="AA26" s="127"/>
      <c r="AB26" s="128" t="e">
        <f t="shared" si="8"/>
        <v>#VALUE!</v>
      </c>
    </row>
    <row r="27" ht="14.25" customHeight="1" spans="1:28">
      <c r="A27" s="89"/>
      <c r="B27" s="89"/>
      <c r="C27" s="90" t="s">
        <v>361</v>
      </c>
      <c r="D27" s="90" t="s">
        <v>98</v>
      </c>
      <c r="E27" s="90" t="s">
        <v>565</v>
      </c>
      <c r="F27" s="90" t="s">
        <v>352</v>
      </c>
      <c r="G27" s="90" t="s">
        <v>590</v>
      </c>
      <c r="H27" s="91">
        <v>45219</v>
      </c>
      <c r="I27" s="90"/>
      <c r="J27" s="97" t="s">
        <v>326</v>
      </c>
      <c r="K27" s="90">
        <v>5</v>
      </c>
      <c r="L27" s="98">
        <v>4828</v>
      </c>
      <c r="M27" s="98">
        <v>5595</v>
      </c>
      <c r="N27" s="98">
        <f t="shared" si="12"/>
        <v>767</v>
      </c>
      <c r="O27" s="99">
        <f t="shared" si="1"/>
        <v>0.137086684539768</v>
      </c>
      <c r="P27" s="89">
        <f t="shared" si="9"/>
        <v>111.9</v>
      </c>
      <c r="Q27" s="113">
        <f t="shared" si="10"/>
        <v>559.5</v>
      </c>
      <c r="R27" s="58">
        <f t="shared" si="2"/>
        <v>0.02</v>
      </c>
      <c r="S27" s="114">
        <f t="shared" si="3"/>
        <v>0.117086684539768</v>
      </c>
      <c r="T27" s="115">
        <f t="shared" si="4"/>
        <v>0.22</v>
      </c>
      <c r="U27" s="116">
        <v>0.06</v>
      </c>
      <c r="V27" s="117">
        <f t="shared" si="5"/>
        <v>0.18</v>
      </c>
      <c r="W27" s="117">
        <f t="shared" si="6"/>
        <v>-0.0629133154602323</v>
      </c>
      <c r="X27" s="118" t="str">
        <f>IFERROR(SUMIF(#REF!,$A27,#REF!),"")</f>
        <v/>
      </c>
      <c r="Y27" s="126" t="e">
        <f t="shared" si="7"/>
        <v>#VALUE!</v>
      </c>
      <c r="Z27" s="127">
        <v>5911854179</v>
      </c>
      <c r="AA27" s="127"/>
      <c r="AB27" s="128" t="e">
        <f t="shared" si="8"/>
        <v>#VALUE!</v>
      </c>
    </row>
    <row r="28" ht="14.25" customHeight="1" spans="1:28">
      <c r="A28" s="89"/>
      <c r="B28" s="89"/>
      <c r="C28" s="90" t="s">
        <v>361</v>
      </c>
      <c r="D28" s="90" t="s">
        <v>98</v>
      </c>
      <c r="E28" s="90" t="s">
        <v>557</v>
      </c>
      <c r="F28" s="90" t="s">
        <v>352</v>
      </c>
      <c r="G28" s="90" t="s">
        <v>591</v>
      </c>
      <c r="H28" s="91">
        <v>45219</v>
      </c>
      <c r="I28" s="90"/>
      <c r="J28" s="97" t="s">
        <v>592</v>
      </c>
      <c r="K28" s="90">
        <v>5</v>
      </c>
      <c r="L28" s="98">
        <v>2831.85840707965</v>
      </c>
      <c r="M28" s="98">
        <v>3750</v>
      </c>
      <c r="N28" s="98">
        <f t="shared" si="12"/>
        <v>918.14159292035</v>
      </c>
      <c r="O28" s="99">
        <f t="shared" si="1"/>
        <v>0.244837758112093</v>
      </c>
      <c r="P28" s="89">
        <f t="shared" si="9"/>
        <v>75</v>
      </c>
      <c r="Q28" s="113">
        <f t="shared" si="10"/>
        <v>375</v>
      </c>
      <c r="R28" s="58">
        <f t="shared" si="2"/>
        <v>0.02</v>
      </c>
      <c r="S28" s="114">
        <f t="shared" si="3"/>
        <v>0.224837758112093</v>
      </c>
      <c r="T28" s="115">
        <f t="shared" si="4"/>
        <v>0.22</v>
      </c>
      <c r="U28" s="116">
        <v>0.06</v>
      </c>
      <c r="V28" s="117">
        <f t="shared" si="5"/>
        <v>0.18</v>
      </c>
      <c r="W28" s="117" t="str">
        <f t="shared" si="6"/>
        <v/>
      </c>
      <c r="X28" s="118" t="str">
        <f>IFERROR(SUMIF(#REF!,$A28,#REF!),"")</f>
        <v/>
      </c>
      <c r="Y28" s="126" t="e">
        <f t="shared" si="7"/>
        <v>#VALUE!</v>
      </c>
      <c r="Z28" s="127">
        <v>4100172025</v>
      </c>
      <c r="AA28" s="127"/>
      <c r="AB28" s="128" t="e">
        <f t="shared" si="8"/>
        <v>#VALUE!</v>
      </c>
    </row>
    <row r="29" ht="14.25" customHeight="1" spans="1:28">
      <c r="A29" s="89"/>
      <c r="B29" s="89"/>
      <c r="C29" s="90" t="s">
        <v>361</v>
      </c>
      <c r="D29" s="90" t="s">
        <v>98</v>
      </c>
      <c r="E29" s="90" t="s">
        <v>565</v>
      </c>
      <c r="F29" s="90" t="s">
        <v>352</v>
      </c>
      <c r="G29" s="90" t="s">
        <v>593</v>
      </c>
      <c r="H29" s="91">
        <v>45219</v>
      </c>
      <c r="I29" s="90"/>
      <c r="J29" s="97" t="s">
        <v>594</v>
      </c>
      <c r="K29" s="90">
        <v>20</v>
      </c>
      <c r="L29" s="98">
        <v>1933.62831858407</v>
      </c>
      <c r="M29" s="98">
        <v>2505</v>
      </c>
      <c r="N29" s="98">
        <f t="shared" si="12"/>
        <v>571.37168141593</v>
      </c>
      <c r="O29" s="99">
        <f t="shared" si="1"/>
        <v>0.22809248759119</v>
      </c>
      <c r="P29" s="89">
        <f t="shared" si="9"/>
        <v>50.1</v>
      </c>
      <c r="Q29" s="113">
        <f t="shared" si="10"/>
        <v>1002</v>
      </c>
      <c r="R29" s="58">
        <f t="shared" si="2"/>
        <v>0.02</v>
      </c>
      <c r="S29" s="114">
        <f t="shared" si="3"/>
        <v>0.20809248759119</v>
      </c>
      <c r="T29" s="115">
        <f t="shared" si="4"/>
        <v>0.22</v>
      </c>
      <c r="U29" s="116">
        <v>0.06</v>
      </c>
      <c r="V29" s="117">
        <f t="shared" si="5"/>
        <v>0.18</v>
      </c>
      <c r="W29" s="117" t="str">
        <f t="shared" si="6"/>
        <v/>
      </c>
      <c r="X29" s="118" t="str">
        <f>IFERROR(SUMIF(#REF!,$A29,#REF!),"")</f>
        <v/>
      </c>
      <c r="Y29" s="126" t="e">
        <f t="shared" si="7"/>
        <v>#VALUE!</v>
      </c>
      <c r="Z29" s="127">
        <v>5911864312</v>
      </c>
      <c r="AA29" s="127"/>
      <c r="AB29" s="128" t="e">
        <f t="shared" si="8"/>
        <v>#VALUE!</v>
      </c>
    </row>
    <row r="30" ht="14.25" customHeight="1" spans="1:28">
      <c r="A30" s="89"/>
      <c r="B30" s="89"/>
      <c r="C30" s="90" t="s">
        <v>361</v>
      </c>
      <c r="D30" s="90" t="s">
        <v>98</v>
      </c>
      <c r="E30" s="90" t="s">
        <v>565</v>
      </c>
      <c r="F30" s="90" t="s">
        <v>352</v>
      </c>
      <c r="G30" s="90" t="s">
        <v>568</v>
      </c>
      <c r="H30" s="91">
        <v>45223</v>
      </c>
      <c r="I30" s="90"/>
      <c r="J30" s="97" t="s">
        <v>594</v>
      </c>
      <c r="K30" s="90">
        <v>6</v>
      </c>
      <c r="L30" s="98">
        <v>1933.62831858407</v>
      </c>
      <c r="M30" s="98">
        <v>2505</v>
      </c>
      <c r="N30" s="98">
        <f t="shared" si="12"/>
        <v>571.37168141593</v>
      </c>
      <c r="O30" s="99">
        <f t="shared" si="1"/>
        <v>0.22809248759119</v>
      </c>
      <c r="P30" s="89">
        <f t="shared" si="9"/>
        <v>50.1</v>
      </c>
      <c r="Q30" s="113">
        <f t="shared" si="10"/>
        <v>300.6</v>
      </c>
      <c r="R30" s="58">
        <f t="shared" si="2"/>
        <v>0.02</v>
      </c>
      <c r="S30" s="114">
        <f t="shared" si="3"/>
        <v>0.20809248759119</v>
      </c>
      <c r="T30" s="115">
        <f t="shared" si="4"/>
        <v>0.22</v>
      </c>
      <c r="U30" s="116">
        <v>0.06</v>
      </c>
      <c r="V30" s="117">
        <f t="shared" si="5"/>
        <v>0.18</v>
      </c>
      <c r="W30" s="117" t="str">
        <f t="shared" si="6"/>
        <v/>
      </c>
      <c r="X30" s="118" t="str">
        <f>IFERROR(SUMIF(#REF!,$A30,#REF!),"")</f>
        <v/>
      </c>
      <c r="Y30" s="126" t="e">
        <f t="shared" si="7"/>
        <v>#VALUE!</v>
      </c>
      <c r="Z30" s="127">
        <v>5911898333</v>
      </c>
      <c r="AA30" s="127"/>
      <c r="AB30" s="128" t="e">
        <f t="shared" si="8"/>
        <v>#VALUE!</v>
      </c>
    </row>
    <row r="31" ht="14.25" customHeight="1" spans="1:28">
      <c r="A31" s="89"/>
      <c r="B31" s="89"/>
      <c r="C31" s="90" t="s">
        <v>361</v>
      </c>
      <c r="D31" s="90" t="s">
        <v>98</v>
      </c>
      <c r="E31" s="90" t="s">
        <v>565</v>
      </c>
      <c r="F31" s="90" t="s">
        <v>352</v>
      </c>
      <c r="G31" s="90" t="s">
        <v>595</v>
      </c>
      <c r="H31" s="91">
        <v>45225</v>
      </c>
      <c r="I31" s="90"/>
      <c r="J31" s="97" t="s">
        <v>596</v>
      </c>
      <c r="K31" s="90">
        <v>5</v>
      </c>
      <c r="L31" s="98">
        <v>15</v>
      </c>
      <c r="M31" s="98">
        <v>34</v>
      </c>
      <c r="N31" s="98">
        <f t="shared" si="12"/>
        <v>19</v>
      </c>
      <c r="O31" s="99">
        <f t="shared" si="1"/>
        <v>0.558823529411765</v>
      </c>
      <c r="P31" s="89">
        <f t="shared" si="9"/>
        <v>0.68</v>
      </c>
      <c r="Q31" s="113">
        <f t="shared" si="10"/>
        <v>3.4</v>
      </c>
      <c r="R31" s="58">
        <f t="shared" si="2"/>
        <v>0.02</v>
      </c>
      <c r="S31" s="114">
        <f t="shared" si="3"/>
        <v>0.538823529411765</v>
      </c>
      <c r="T31" s="115">
        <f t="shared" si="4"/>
        <v>0.22</v>
      </c>
      <c r="U31" s="116">
        <v>0.06</v>
      </c>
      <c r="V31" s="117">
        <f t="shared" si="5"/>
        <v>0.18</v>
      </c>
      <c r="W31" s="117" t="str">
        <f t="shared" si="6"/>
        <v/>
      </c>
      <c r="X31" s="118" t="str">
        <f>IFERROR(SUMIF(#REF!,$A31,#REF!),"")</f>
        <v/>
      </c>
      <c r="Y31" s="126" t="e">
        <f t="shared" si="7"/>
        <v>#VALUE!</v>
      </c>
      <c r="Z31" s="127">
        <v>5911918229</v>
      </c>
      <c r="AA31" s="127"/>
      <c r="AB31" s="128" t="e">
        <f t="shared" si="8"/>
        <v>#VALUE!</v>
      </c>
    </row>
    <row r="32" ht="14.25" customHeight="1" spans="1:28">
      <c r="A32" s="89"/>
      <c r="B32" s="89"/>
      <c r="C32" s="90" t="s">
        <v>361</v>
      </c>
      <c r="D32" s="90" t="s">
        <v>98</v>
      </c>
      <c r="E32" s="90" t="s">
        <v>557</v>
      </c>
      <c r="F32" s="90" t="s">
        <v>352</v>
      </c>
      <c r="G32" s="90" t="s">
        <v>597</v>
      </c>
      <c r="H32" s="91">
        <v>45230</v>
      </c>
      <c r="I32" s="90"/>
      <c r="J32" s="97" t="s">
        <v>598</v>
      </c>
      <c r="K32" s="90">
        <v>5</v>
      </c>
      <c r="L32" s="98">
        <v>7649.95575221239</v>
      </c>
      <c r="M32" s="98">
        <v>10500</v>
      </c>
      <c r="N32" s="98">
        <f t="shared" si="12"/>
        <v>2850.04424778761</v>
      </c>
      <c r="O32" s="99">
        <f t="shared" si="1"/>
        <v>0.271432785503582</v>
      </c>
      <c r="P32" s="89">
        <f t="shared" si="9"/>
        <v>210</v>
      </c>
      <c r="Q32" s="113">
        <f t="shared" si="10"/>
        <v>1050</v>
      </c>
      <c r="R32" s="58">
        <f t="shared" si="2"/>
        <v>0.02</v>
      </c>
      <c r="S32" s="114">
        <f t="shared" si="3"/>
        <v>0.251432785503582</v>
      </c>
      <c r="T32" s="115">
        <f t="shared" si="4"/>
        <v>0.22</v>
      </c>
      <c r="U32" s="116">
        <v>0.06</v>
      </c>
      <c r="V32" s="117">
        <f t="shared" si="5"/>
        <v>0.18</v>
      </c>
      <c r="W32" s="117" t="str">
        <f t="shared" si="6"/>
        <v/>
      </c>
      <c r="X32" s="118" t="str">
        <f>IFERROR(SUMIF(#REF!,$A32,#REF!),"")</f>
        <v/>
      </c>
      <c r="Y32" s="126" t="e">
        <f t="shared" si="7"/>
        <v>#VALUE!</v>
      </c>
      <c r="Z32" s="127">
        <v>4100173206</v>
      </c>
      <c r="AA32" s="127"/>
      <c r="AB32" s="128" t="e">
        <f t="shared" si="8"/>
        <v>#VALUE!</v>
      </c>
    </row>
    <row r="33" ht="14.25" customHeight="1" spans="1:28">
      <c r="A33" s="89"/>
      <c r="B33" s="89"/>
      <c r="C33" s="90" t="s">
        <v>361</v>
      </c>
      <c r="D33" s="90" t="s">
        <v>98</v>
      </c>
      <c r="E33" s="90" t="s">
        <v>565</v>
      </c>
      <c r="F33" s="90" t="s">
        <v>352</v>
      </c>
      <c r="G33" s="90" t="s">
        <v>570</v>
      </c>
      <c r="H33" s="91">
        <v>45240</v>
      </c>
      <c r="I33" s="90"/>
      <c r="J33" s="97" t="s">
        <v>599</v>
      </c>
      <c r="K33" s="90">
        <v>2</v>
      </c>
      <c r="L33" s="98">
        <v>2770.72088652205</v>
      </c>
      <c r="M33" s="98">
        <v>4716</v>
      </c>
      <c r="N33" s="98">
        <f t="shared" si="12"/>
        <v>1945.27911347795</v>
      </c>
      <c r="O33" s="99">
        <f t="shared" si="1"/>
        <v>0.412484968930863</v>
      </c>
      <c r="P33" s="89">
        <f t="shared" si="9"/>
        <v>94.32</v>
      </c>
      <c r="Q33" s="113">
        <f t="shared" si="10"/>
        <v>188.64</v>
      </c>
      <c r="R33" s="58">
        <f t="shared" si="2"/>
        <v>0.02</v>
      </c>
      <c r="S33" s="114">
        <f t="shared" si="3"/>
        <v>0.392484968930863</v>
      </c>
      <c r="T33" s="115">
        <f t="shared" si="4"/>
        <v>0.22</v>
      </c>
      <c r="U33" s="116">
        <v>0.06</v>
      </c>
      <c r="V33" s="117">
        <f t="shared" si="5"/>
        <v>0.18</v>
      </c>
      <c r="W33" s="117" t="str">
        <f t="shared" si="6"/>
        <v/>
      </c>
      <c r="X33" s="118" t="str">
        <f>IFERROR(SUMIF(#REF!,$A33,#REF!),"")</f>
        <v/>
      </c>
      <c r="Y33" s="126" t="e">
        <f t="shared" si="7"/>
        <v>#VALUE!</v>
      </c>
      <c r="Z33" s="127">
        <v>5912066448</v>
      </c>
      <c r="AA33" s="127"/>
      <c r="AB33" s="128" t="e">
        <f t="shared" si="8"/>
        <v>#VALUE!</v>
      </c>
    </row>
    <row r="34" ht="14.25" customHeight="1" spans="1:28">
      <c r="A34" s="89"/>
      <c r="B34" s="89"/>
      <c r="C34" s="90" t="s">
        <v>361</v>
      </c>
      <c r="D34" s="90" t="s">
        <v>98</v>
      </c>
      <c r="E34" s="90" t="s">
        <v>565</v>
      </c>
      <c r="F34" s="90" t="s">
        <v>352</v>
      </c>
      <c r="G34" s="90" t="s">
        <v>570</v>
      </c>
      <c r="H34" s="91">
        <v>45244</v>
      </c>
      <c r="I34" s="90"/>
      <c r="J34" s="97" t="s">
        <v>600</v>
      </c>
      <c r="K34" s="90">
        <v>1</v>
      </c>
      <c r="L34" s="98">
        <v>1274.33628318584</v>
      </c>
      <c r="M34" s="98">
        <v>1539</v>
      </c>
      <c r="N34" s="98">
        <f t="shared" si="12"/>
        <v>264.66371681416</v>
      </c>
      <c r="O34" s="99">
        <f t="shared" si="1"/>
        <v>0.171971226000104</v>
      </c>
      <c r="P34" s="89">
        <f t="shared" si="9"/>
        <v>30.78</v>
      </c>
      <c r="Q34" s="113">
        <f t="shared" si="10"/>
        <v>30.78</v>
      </c>
      <c r="R34" s="58">
        <f t="shared" si="2"/>
        <v>0.02</v>
      </c>
      <c r="S34" s="114">
        <f t="shared" si="3"/>
        <v>0.151971226000104</v>
      </c>
      <c r="T34" s="115">
        <f t="shared" si="4"/>
        <v>0.22</v>
      </c>
      <c r="U34" s="116">
        <v>0.06</v>
      </c>
      <c r="V34" s="117">
        <f t="shared" si="5"/>
        <v>0.18</v>
      </c>
      <c r="W34" s="117">
        <f t="shared" si="6"/>
        <v>-0.0280287739998961</v>
      </c>
      <c r="X34" s="118" t="str">
        <f>IFERROR(SUMIF(#REF!,$A34,#REF!),"")</f>
        <v/>
      </c>
      <c r="Y34" s="126" t="e">
        <f t="shared" si="7"/>
        <v>#VALUE!</v>
      </c>
      <c r="Z34" s="127">
        <v>5912098791</v>
      </c>
      <c r="AA34" s="127"/>
      <c r="AB34" s="128" t="e">
        <f t="shared" si="8"/>
        <v>#VALUE!</v>
      </c>
    </row>
    <row r="35" ht="14.25" customHeight="1" spans="1:28">
      <c r="A35" s="89"/>
      <c r="B35" s="89"/>
      <c r="C35" s="90" t="s">
        <v>361</v>
      </c>
      <c r="D35" s="90" t="s">
        <v>98</v>
      </c>
      <c r="E35" s="90" t="s">
        <v>565</v>
      </c>
      <c r="F35" s="90" t="s">
        <v>352</v>
      </c>
      <c r="G35" s="90" t="s">
        <v>601</v>
      </c>
      <c r="H35" s="91">
        <v>45244</v>
      </c>
      <c r="I35" s="90"/>
      <c r="J35" s="97" t="s">
        <v>602</v>
      </c>
      <c r="K35" s="90">
        <v>3</v>
      </c>
      <c r="L35" s="98">
        <v>850</v>
      </c>
      <c r="M35" s="98">
        <v>997</v>
      </c>
      <c r="N35" s="98">
        <f t="shared" si="12"/>
        <v>147</v>
      </c>
      <c r="O35" s="99">
        <f t="shared" si="1"/>
        <v>0.147442326980943</v>
      </c>
      <c r="P35" s="89">
        <f t="shared" si="9"/>
        <v>19.94</v>
      </c>
      <c r="Q35" s="113">
        <f t="shared" si="10"/>
        <v>59.82</v>
      </c>
      <c r="R35" s="58">
        <f t="shared" si="2"/>
        <v>0.02</v>
      </c>
      <c r="S35" s="114">
        <f t="shared" si="3"/>
        <v>0.127442326980943</v>
      </c>
      <c r="T35" s="115">
        <f t="shared" si="4"/>
        <v>0.22</v>
      </c>
      <c r="U35" s="116">
        <v>0.06</v>
      </c>
      <c r="V35" s="117">
        <f t="shared" si="5"/>
        <v>0.18</v>
      </c>
      <c r="W35" s="117">
        <f t="shared" si="6"/>
        <v>-0.0525576730190572</v>
      </c>
      <c r="X35" s="118" t="str">
        <f>IFERROR(SUMIF(#REF!,$A35,#REF!),"")</f>
        <v/>
      </c>
      <c r="Y35" s="126" t="e">
        <f t="shared" si="7"/>
        <v>#VALUE!</v>
      </c>
      <c r="Z35" s="127">
        <v>5912098846</v>
      </c>
      <c r="AA35" s="127"/>
      <c r="AB35" s="128" t="e">
        <f t="shared" si="8"/>
        <v>#VALUE!</v>
      </c>
    </row>
    <row r="36" ht="14.25" customHeight="1" spans="1:28">
      <c r="A36" s="89"/>
      <c r="B36" s="89"/>
      <c r="C36" s="90" t="s">
        <v>361</v>
      </c>
      <c r="D36" s="90" t="s">
        <v>98</v>
      </c>
      <c r="E36" s="90" t="s">
        <v>553</v>
      </c>
      <c r="F36" s="90" t="s">
        <v>352</v>
      </c>
      <c r="G36" s="90" t="s">
        <v>554</v>
      </c>
      <c r="H36" s="91">
        <v>45246</v>
      </c>
      <c r="I36" s="90"/>
      <c r="J36" s="97" t="s">
        <v>603</v>
      </c>
      <c r="K36" s="90">
        <v>20</v>
      </c>
      <c r="L36" s="98">
        <v>2654.86725663717</v>
      </c>
      <c r="M36" s="98">
        <v>3585</v>
      </c>
      <c r="N36" s="98">
        <f t="shared" si="12"/>
        <v>930.13274336283</v>
      </c>
      <c r="O36" s="99">
        <f t="shared" ref="O36:O79" si="13">IF(AND($N36&lt;&gt;0,$M36&lt;&gt;0),$N36/$M36,"")</f>
        <v>0.259451253378753</v>
      </c>
      <c r="P36" s="89">
        <f t="shared" si="9"/>
        <v>71.7</v>
      </c>
      <c r="Q36" s="113">
        <f t="shared" ref="Q36:Q79" si="14">P36*K36</f>
        <v>1434</v>
      </c>
      <c r="R36" s="58">
        <f t="shared" ref="R36:R79" si="15">IF(AND($P36&lt;&gt;0,$M36&lt;&gt;0),$P36/$M36,"")</f>
        <v>0.02</v>
      </c>
      <c r="S36" s="114">
        <f t="shared" ref="S36:S79" si="16">IF(AND(($N36*$K36-$Q36)&lt;&gt;0,($M36*$K36)&lt;&gt;0),($N36*$K36-$Q36)/($M36*$K36),"")</f>
        <v>0.239451253378753</v>
      </c>
      <c r="T36" s="115">
        <f t="shared" ref="T36:T79" si="17">IF($C36="深圳福达通",22%,IF($C36="康为",26%,IF($C36="新浪潮",26%,IF($C36="湖南飞英达",25%,IF($C36="志奋领",26%)))))</f>
        <v>0.22</v>
      </c>
      <c r="U36" s="116">
        <v>0.06</v>
      </c>
      <c r="V36" s="117">
        <f t="shared" ref="V36:V79" si="18">IF(T36-U36+R36&gt;0,T36-U36+R36,IF(T36-U36+R36=0,""))</f>
        <v>0.18</v>
      </c>
      <c r="W36" s="117" t="str">
        <f t="shared" ref="W36:W79" si="19">IF(S36-V36&lt;0,S36-V36,IF(S36-V36&gt;0,""))</f>
        <v/>
      </c>
      <c r="X36" s="118" t="str">
        <f>IFERROR(SUMIF(#REF!,$A36,#REF!),"")</f>
        <v/>
      </c>
      <c r="Y36" s="126" t="e">
        <f t="shared" ref="Y36:Y79" si="20">IF(AND(($N36*$K36-$X36)&lt;&gt;0,($M36*$K36)&lt;&gt;0),($N36*$K36-$X36)/($M36*$K36),"")</f>
        <v>#VALUE!</v>
      </c>
      <c r="Z36" s="127">
        <v>4100175412</v>
      </c>
      <c r="AA36" s="127"/>
      <c r="AB36" s="128" t="e">
        <f t="shared" ref="AB36:AB79" si="21">X36-Q36</f>
        <v>#VALUE!</v>
      </c>
    </row>
    <row r="37" ht="14.25" customHeight="1" spans="1:28">
      <c r="A37" s="89"/>
      <c r="B37" s="89"/>
      <c r="C37" s="90" t="s">
        <v>361</v>
      </c>
      <c r="D37" s="90" t="s">
        <v>98</v>
      </c>
      <c r="E37" s="90" t="s">
        <v>553</v>
      </c>
      <c r="F37" s="90" t="s">
        <v>352</v>
      </c>
      <c r="G37" s="90" t="s">
        <v>554</v>
      </c>
      <c r="H37" s="91">
        <v>45246</v>
      </c>
      <c r="I37" s="90"/>
      <c r="J37" s="97" t="s">
        <v>604</v>
      </c>
      <c r="K37" s="90">
        <v>40</v>
      </c>
      <c r="L37" s="98">
        <v>2654.86725663717</v>
      </c>
      <c r="M37" s="98">
        <v>3585</v>
      </c>
      <c r="N37" s="98">
        <f t="shared" si="12"/>
        <v>930.13274336283</v>
      </c>
      <c r="O37" s="99">
        <f t="shared" si="13"/>
        <v>0.259451253378753</v>
      </c>
      <c r="P37" s="89">
        <f t="shared" ref="P37:P79" si="22">M37*0.02</f>
        <v>71.7</v>
      </c>
      <c r="Q37" s="113">
        <f t="shared" si="14"/>
        <v>2868</v>
      </c>
      <c r="R37" s="58">
        <f t="shared" si="15"/>
        <v>0.02</v>
      </c>
      <c r="S37" s="114">
        <f t="shared" si="16"/>
        <v>0.239451253378753</v>
      </c>
      <c r="T37" s="115">
        <f t="shared" si="17"/>
        <v>0.22</v>
      </c>
      <c r="U37" s="116">
        <v>0.06</v>
      </c>
      <c r="V37" s="117">
        <f t="shared" si="18"/>
        <v>0.18</v>
      </c>
      <c r="W37" s="117" t="str">
        <f t="shared" si="19"/>
        <v/>
      </c>
      <c r="X37" s="118" t="str">
        <f>IFERROR(SUMIF(#REF!,$A37,#REF!),"")</f>
        <v/>
      </c>
      <c r="Y37" s="126" t="e">
        <f t="shared" si="20"/>
        <v>#VALUE!</v>
      </c>
      <c r="Z37" s="127">
        <v>4100175412</v>
      </c>
      <c r="AA37" s="127"/>
      <c r="AB37" s="128" t="e">
        <f t="shared" si="21"/>
        <v>#VALUE!</v>
      </c>
    </row>
    <row r="38" ht="14.25" customHeight="1" spans="1:28">
      <c r="A38" s="89"/>
      <c r="B38" s="89"/>
      <c r="C38" s="90" t="s">
        <v>361</v>
      </c>
      <c r="D38" s="90" t="s">
        <v>98</v>
      </c>
      <c r="E38" s="90" t="s">
        <v>565</v>
      </c>
      <c r="F38" s="90" t="s">
        <v>352</v>
      </c>
      <c r="G38" s="90" t="s">
        <v>568</v>
      </c>
      <c r="H38" s="91">
        <v>45250</v>
      </c>
      <c r="I38" s="90"/>
      <c r="J38" s="97" t="s">
        <v>605</v>
      </c>
      <c r="K38" s="90">
        <v>4</v>
      </c>
      <c r="L38" s="98">
        <v>1606.19469026549</v>
      </c>
      <c r="M38" s="98">
        <v>2135</v>
      </c>
      <c r="N38" s="98">
        <f t="shared" si="12"/>
        <v>528.80530973451</v>
      </c>
      <c r="O38" s="99">
        <f t="shared" si="13"/>
        <v>0.247683985824126</v>
      </c>
      <c r="P38" s="89">
        <f t="shared" si="22"/>
        <v>42.7</v>
      </c>
      <c r="Q38" s="113">
        <f t="shared" si="14"/>
        <v>170.8</v>
      </c>
      <c r="R38" s="58">
        <f t="shared" si="15"/>
        <v>0.02</v>
      </c>
      <c r="S38" s="114">
        <f t="shared" si="16"/>
        <v>0.227683985824126</v>
      </c>
      <c r="T38" s="115">
        <f t="shared" si="17"/>
        <v>0.22</v>
      </c>
      <c r="U38" s="116">
        <v>0.06</v>
      </c>
      <c r="V38" s="117">
        <f t="shared" si="18"/>
        <v>0.18</v>
      </c>
      <c r="W38" s="117" t="str">
        <f t="shared" si="19"/>
        <v/>
      </c>
      <c r="X38" s="118" t="str">
        <f>IFERROR(SUMIF(#REF!,$A38,#REF!),"")</f>
        <v/>
      </c>
      <c r="Y38" s="126" t="e">
        <f t="shared" si="20"/>
        <v>#VALUE!</v>
      </c>
      <c r="Z38" s="127">
        <v>5912139716</v>
      </c>
      <c r="AA38" s="127"/>
      <c r="AB38" s="128" t="e">
        <f t="shared" si="21"/>
        <v>#VALUE!</v>
      </c>
    </row>
    <row r="39" ht="14.25" customHeight="1" spans="1:28">
      <c r="A39" s="89"/>
      <c r="B39" s="89"/>
      <c r="C39" s="90" t="s">
        <v>361</v>
      </c>
      <c r="D39" s="90" t="s">
        <v>98</v>
      </c>
      <c r="E39" s="90" t="s">
        <v>565</v>
      </c>
      <c r="F39" s="90" t="s">
        <v>352</v>
      </c>
      <c r="G39" s="90" t="s">
        <v>574</v>
      </c>
      <c r="H39" s="91">
        <v>45252</v>
      </c>
      <c r="I39" s="90"/>
      <c r="J39" s="97" t="s">
        <v>606</v>
      </c>
      <c r="K39" s="90">
        <v>10</v>
      </c>
      <c r="L39" s="98">
        <v>323.008849557522</v>
      </c>
      <c r="M39" s="98">
        <v>379</v>
      </c>
      <c r="N39" s="98">
        <f t="shared" si="12"/>
        <v>55.991150442478</v>
      </c>
      <c r="O39" s="99">
        <f t="shared" si="13"/>
        <v>0.147733906180681</v>
      </c>
      <c r="P39" s="89">
        <f t="shared" si="22"/>
        <v>7.58</v>
      </c>
      <c r="Q39" s="113">
        <f t="shared" si="14"/>
        <v>75.8</v>
      </c>
      <c r="R39" s="58">
        <f t="shared" si="15"/>
        <v>0.02</v>
      </c>
      <c r="S39" s="114">
        <f t="shared" si="16"/>
        <v>0.127733906180681</v>
      </c>
      <c r="T39" s="115">
        <f t="shared" si="17"/>
        <v>0.22</v>
      </c>
      <c r="U39" s="116">
        <v>0.06</v>
      </c>
      <c r="V39" s="117">
        <f t="shared" si="18"/>
        <v>0.18</v>
      </c>
      <c r="W39" s="117">
        <f t="shared" si="19"/>
        <v>-0.0522660938193193</v>
      </c>
      <c r="X39" s="118" t="str">
        <f>IFERROR(SUMIF(#REF!,$A39,#REF!),"")</f>
        <v/>
      </c>
      <c r="Y39" s="126" t="e">
        <f t="shared" si="20"/>
        <v>#VALUE!</v>
      </c>
      <c r="Z39" s="127">
        <v>5912174120</v>
      </c>
      <c r="AA39" s="127"/>
      <c r="AB39" s="128" t="e">
        <f t="shared" si="21"/>
        <v>#VALUE!</v>
      </c>
    </row>
    <row r="40" ht="14.25" customHeight="1" spans="1:28">
      <c r="A40" s="89"/>
      <c r="B40" s="89"/>
      <c r="C40" s="90" t="s">
        <v>361</v>
      </c>
      <c r="D40" s="90" t="s">
        <v>98</v>
      </c>
      <c r="E40" s="90" t="s">
        <v>565</v>
      </c>
      <c r="F40" s="90" t="s">
        <v>352</v>
      </c>
      <c r="G40" s="90" t="s">
        <v>607</v>
      </c>
      <c r="H40" s="91">
        <v>45252</v>
      </c>
      <c r="I40" s="90"/>
      <c r="J40" s="97" t="s">
        <v>608</v>
      </c>
      <c r="K40" s="90">
        <v>5</v>
      </c>
      <c r="L40" s="98">
        <v>1796.46017699115</v>
      </c>
      <c r="M40" s="98">
        <v>2495</v>
      </c>
      <c r="N40" s="98">
        <f t="shared" si="12"/>
        <v>698.53982300885</v>
      </c>
      <c r="O40" s="99">
        <f t="shared" si="13"/>
        <v>0.279975880965471</v>
      </c>
      <c r="P40" s="89">
        <f t="shared" si="22"/>
        <v>49.9</v>
      </c>
      <c r="Q40" s="113">
        <f t="shared" si="14"/>
        <v>249.5</v>
      </c>
      <c r="R40" s="58">
        <f t="shared" si="15"/>
        <v>0.02</v>
      </c>
      <c r="S40" s="114">
        <f t="shared" si="16"/>
        <v>0.259975880965471</v>
      </c>
      <c r="T40" s="115">
        <f t="shared" si="17"/>
        <v>0.22</v>
      </c>
      <c r="U40" s="116">
        <v>0.06</v>
      </c>
      <c r="V40" s="117">
        <f t="shared" si="18"/>
        <v>0.18</v>
      </c>
      <c r="W40" s="117" t="str">
        <f t="shared" si="19"/>
        <v/>
      </c>
      <c r="X40" s="118" t="str">
        <f>IFERROR(SUMIF(#REF!,$A40,#REF!),"")</f>
        <v/>
      </c>
      <c r="Y40" s="126" t="e">
        <f t="shared" si="20"/>
        <v>#VALUE!</v>
      </c>
      <c r="Z40" s="127">
        <v>5912174117</v>
      </c>
      <c r="AA40" s="127"/>
      <c r="AB40" s="128" t="e">
        <f t="shared" si="21"/>
        <v>#VALUE!</v>
      </c>
    </row>
    <row r="41" ht="14.25" customHeight="1" spans="1:28">
      <c r="A41" s="89"/>
      <c r="B41" s="89"/>
      <c r="C41" s="90" t="s">
        <v>361</v>
      </c>
      <c r="D41" s="90" t="s">
        <v>98</v>
      </c>
      <c r="E41" s="90" t="s">
        <v>609</v>
      </c>
      <c r="F41" s="90" t="s">
        <v>352</v>
      </c>
      <c r="G41" s="90" t="s">
        <v>610</v>
      </c>
      <c r="H41" s="91">
        <v>45258</v>
      </c>
      <c r="I41" s="90"/>
      <c r="J41" s="97" t="s">
        <v>611</v>
      </c>
      <c r="K41" s="90">
        <v>100</v>
      </c>
      <c r="L41" s="98">
        <v>2654.86725663717</v>
      </c>
      <c r="M41" s="98">
        <v>3585</v>
      </c>
      <c r="N41" s="98">
        <f t="shared" si="12"/>
        <v>930.13274336283</v>
      </c>
      <c r="O41" s="99">
        <f t="shared" si="13"/>
        <v>0.259451253378753</v>
      </c>
      <c r="P41" s="89">
        <f t="shared" si="22"/>
        <v>71.7</v>
      </c>
      <c r="Q41" s="113">
        <f t="shared" si="14"/>
        <v>7170</v>
      </c>
      <c r="R41" s="58">
        <f t="shared" si="15"/>
        <v>0.02</v>
      </c>
      <c r="S41" s="114">
        <f t="shared" si="16"/>
        <v>0.239451253378753</v>
      </c>
      <c r="T41" s="115">
        <f t="shared" si="17"/>
        <v>0.22</v>
      </c>
      <c r="U41" s="116">
        <v>0.06</v>
      </c>
      <c r="V41" s="117">
        <f t="shared" si="18"/>
        <v>0.18</v>
      </c>
      <c r="W41" s="117" t="str">
        <f t="shared" si="19"/>
        <v/>
      </c>
      <c r="X41" s="118" t="str">
        <f>IFERROR(SUMIF(#REF!,$A41,#REF!),"")</f>
        <v/>
      </c>
      <c r="Y41" s="126" t="e">
        <f t="shared" si="20"/>
        <v>#VALUE!</v>
      </c>
      <c r="Z41" s="127">
        <v>4100177246</v>
      </c>
      <c r="AA41" s="127"/>
      <c r="AB41" s="128" t="e">
        <f t="shared" si="21"/>
        <v>#VALUE!</v>
      </c>
    </row>
    <row r="42" ht="14.25" customHeight="1" spans="1:28">
      <c r="A42" s="89"/>
      <c r="B42" s="89"/>
      <c r="C42" s="90" t="s">
        <v>361</v>
      </c>
      <c r="D42" s="90" t="s">
        <v>98</v>
      </c>
      <c r="E42" s="90" t="s">
        <v>565</v>
      </c>
      <c r="F42" s="90" t="s">
        <v>352</v>
      </c>
      <c r="G42" s="90" t="s">
        <v>612</v>
      </c>
      <c r="H42" s="91">
        <v>45259</v>
      </c>
      <c r="I42" s="90"/>
      <c r="J42" s="97" t="s">
        <v>613</v>
      </c>
      <c r="K42" s="90">
        <v>5</v>
      </c>
      <c r="L42" s="98">
        <v>407.079646017699</v>
      </c>
      <c r="M42" s="98">
        <v>529</v>
      </c>
      <c r="N42" s="98">
        <f t="shared" si="12"/>
        <v>121.920353982301</v>
      </c>
      <c r="O42" s="99">
        <f t="shared" si="13"/>
        <v>0.230473258945749</v>
      </c>
      <c r="P42" s="89">
        <f t="shared" si="22"/>
        <v>10.58</v>
      </c>
      <c r="Q42" s="113">
        <f t="shared" si="14"/>
        <v>52.9</v>
      </c>
      <c r="R42" s="58">
        <f t="shared" si="15"/>
        <v>0.02</v>
      </c>
      <c r="S42" s="114">
        <f t="shared" si="16"/>
        <v>0.210473258945749</v>
      </c>
      <c r="T42" s="115">
        <f t="shared" si="17"/>
        <v>0.22</v>
      </c>
      <c r="U42" s="116">
        <v>0.06</v>
      </c>
      <c r="V42" s="117">
        <f t="shared" si="18"/>
        <v>0.18</v>
      </c>
      <c r="W42" s="117" t="str">
        <f t="shared" si="19"/>
        <v/>
      </c>
      <c r="X42" s="118" t="str">
        <f>IFERROR(SUMIF(#REF!,$A42,#REF!),"")</f>
        <v/>
      </c>
      <c r="Y42" s="126" t="e">
        <f t="shared" si="20"/>
        <v>#VALUE!</v>
      </c>
      <c r="Z42" s="127">
        <v>5912244536</v>
      </c>
      <c r="AA42" s="127"/>
      <c r="AB42" s="128" t="e">
        <f t="shared" si="21"/>
        <v>#VALUE!</v>
      </c>
    </row>
    <row r="43" ht="14.25" customHeight="1" spans="1:28">
      <c r="A43" s="89"/>
      <c r="B43" s="89"/>
      <c r="C43" s="90" t="s">
        <v>361</v>
      </c>
      <c r="D43" s="90" t="s">
        <v>98</v>
      </c>
      <c r="E43" s="90" t="s">
        <v>565</v>
      </c>
      <c r="F43" s="90" t="s">
        <v>352</v>
      </c>
      <c r="G43" s="90" t="s">
        <v>614</v>
      </c>
      <c r="H43" s="91">
        <v>45259</v>
      </c>
      <c r="I43" s="90"/>
      <c r="J43" s="97" t="s">
        <v>615</v>
      </c>
      <c r="K43" s="90">
        <v>40</v>
      </c>
      <c r="L43" s="98">
        <v>1796.46017699115</v>
      </c>
      <c r="M43" s="98">
        <v>2450</v>
      </c>
      <c r="N43" s="98">
        <f t="shared" si="12"/>
        <v>653.53982300885</v>
      </c>
      <c r="O43" s="99">
        <f t="shared" si="13"/>
        <v>0.266750948166877</v>
      </c>
      <c r="P43" s="89">
        <f t="shared" si="22"/>
        <v>49</v>
      </c>
      <c r="Q43" s="113">
        <f t="shared" si="14"/>
        <v>1960</v>
      </c>
      <c r="R43" s="58">
        <f t="shared" si="15"/>
        <v>0.02</v>
      </c>
      <c r="S43" s="114">
        <f t="shared" si="16"/>
        <v>0.246750948166878</v>
      </c>
      <c r="T43" s="115">
        <f t="shared" si="17"/>
        <v>0.22</v>
      </c>
      <c r="U43" s="116">
        <v>0.06</v>
      </c>
      <c r="V43" s="117">
        <f t="shared" si="18"/>
        <v>0.18</v>
      </c>
      <c r="W43" s="117" t="str">
        <f t="shared" si="19"/>
        <v/>
      </c>
      <c r="X43" s="118" t="str">
        <f>IFERROR(SUMIF(#REF!,$A43,#REF!),"")</f>
        <v/>
      </c>
      <c r="Y43" s="126" t="e">
        <f t="shared" si="20"/>
        <v>#VALUE!</v>
      </c>
      <c r="Z43" s="127">
        <v>5912244503</v>
      </c>
      <c r="AA43" s="127"/>
      <c r="AB43" s="128" t="e">
        <f t="shared" si="21"/>
        <v>#VALUE!</v>
      </c>
    </row>
    <row r="44" ht="14.25" customHeight="1" spans="1:28">
      <c r="A44" s="89"/>
      <c r="B44" s="89"/>
      <c r="C44" s="90" t="s">
        <v>361</v>
      </c>
      <c r="D44" s="90" t="s">
        <v>98</v>
      </c>
      <c r="E44" s="90" t="s">
        <v>559</v>
      </c>
      <c r="F44" s="90" t="s">
        <v>352</v>
      </c>
      <c r="G44" s="90" t="s">
        <v>616</v>
      </c>
      <c r="H44" s="91">
        <v>45259</v>
      </c>
      <c r="I44" s="90"/>
      <c r="J44" s="97" t="s">
        <v>617</v>
      </c>
      <c r="K44" s="90">
        <v>100</v>
      </c>
      <c r="L44" s="98">
        <v>2849.55752212389</v>
      </c>
      <c r="M44" s="98">
        <v>3375</v>
      </c>
      <c r="N44" s="98">
        <f t="shared" si="12"/>
        <v>525.44247787611</v>
      </c>
      <c r="O44" s="99">
        <f t="shared" si="13"/>
        <v>0.15568666011144</v>
      </c>
      <c r="P44" s="89">
        <f t="shared" si="22"/>
        <v>67.5</v>
      </c>
      <c r="Q44" s="113">
        <f t="shared" si="14"/>
        <v>6750</v>
      </c>
      <c r="R44" s="58">
        <f t="shared" si="15"/>
        <v>0.02</v>
      </c>
      <c r="S44" s="114">
        <f t="shared" si="16"/>
        <v>0.13568666011144</v>
      </c>
      <c r="T44" s="115">
        <f t="shared" si="17"/>
        <v>0.22</v>
      </c>
      <c r="U44" s="116">
        <v>0.06</v>
      </c>
      <c r="V44" s="117">
        <f t="shared" si="18"/>
        <v>0.18</v>
      </c>
      <c r="W44" s="117">
        <f t="shared" si="19"/>
        <v>-0.04431333988856</v>
      </c>
      <c r="X44" s="118" t="str">
        <f>IFERROR(SUMIF(#REF!,$A44,#REF!),"")</f>
        <v/>
      </c>
      <c r="Y44" s="126" t="e">
        <f t="shared" si="20"/>
        <v>#VALUE!</v>
      </c>
      <c r="Z44" s="127">
        <v>4100177574</v>
      </c>
      <c r="AA44" s="127"/>
      <c r="AB44" s="128" t="e">
        <f t="shared" si="21"/>
        <v>#VALUE!</v>
      </c>
    </row>
    <row r="45" ht="14.25" customHeight="1" spans="1:28">
      <c r="A45" s="89"/>
      <c r="B45" s="89"/>
      <c r="C45" s="90" t="s">
        <v>361</v>
      </c>
      <c r="D45" s="90" t="s">
        <v>98</v>
      </c>
      <c r="E45" s="90" t="s">
        <v>565</v>
      </c>
      <c r="F45" s="90" t="s">
        <v>352</v>
      </c>
      <c r="G45" s="90" t="s">
        <v>570</v>
      </c>
      <c r="H45" s="91">
        <v>45259</v>
      </c>
      <c r="I45" s="90"/>
      <c r="J45" s="97" t="s">
        <v>618</v>
      </c>
      <c r="K45" s="90">
        <v>14</v>
      </c>
      <c r="L45" s="98">
        <v>2566.37168141593</v>
      </c>
      <c r="M45" s="98">
        <v>3680</v>
      </c>
      <c r="N45" s="98">
        <f t="shared" si="12"/>
        <v>1113.62831858407</v>
      </c>
      <c r="O45" s="99">
        <f t="shared" si="13"/>
        <v>0.302616390919584</v>
      </c>
      <c r="P45" s="89">
        <f t="shared" si="22"/>
        <v>73.6</v>
      </c>
      <c r="Q45" s="113">
        <f t="shared" si="14"/>
        <v>1030.4</v>
      </c>
      <c r="R45" s="58">
        <f t="shared" si="15"/>
        <v>0.02</v>
      </c>
      <c r="S45" s="114">
        <f t="shared" si="16"/>
        <v>0.282616390919584</v>
      </c>
      <c r="T45" s="115">
        <f t="shared" si="17"/>
        <v>0.22</v>
      </c>
      <c r="U45" s="116">
        <v>0.06</v>
      </c>
      <c r="V45" s="117">
        <f t="shared" si="18"/>
        <v>0.18</v>
      </c>
      <c r="W45" s="117" t="str">
        <f t="shared" si="19"/>
        <v/>
      </c>
      <c r="X45" s="118" t="str">
        <f>IFERROR(SUMIF(#REF!,$A45,#REF!),"")</f>
        <v/>
      </c>
      <c r="Y45" s="126" t="e">
        <f t="shared" si="20"/>
        <v>#VALUE!</v>
      </c>
      <c r="Z45" s="127">
        <v>5912244306</v>
      </c>
      <c r="AA45" s="127"/>
      <c r="AB45" s="128" t="e">
        <f t="shared" si="21"/>
        <v>#VALUE!</v>
      </c>
    </row>
    <row r="46" ht="14.25" customHeight="1" spans="1:28">
      <c r="A46" s="89"/>
      <c r="B46" s="89"/>
      <c r="C46" s="90" t="s">
        <v>361</v>
      </c>
      <c r="D46" s="90" t="s">
        <v>98</v>
      </c>
      <c r="E46" s="90" t="s">
        <v>619</v>
      </c>
      <c r="F46" s="90" t="s">
        <v>352</v>
      </c>
      <c r="G46" s="90" t="s">
        <v>620</v>
      </c>
      <c r="H46" s="91">
        <v>45261</v>
      </c>
      <c r="I46" s="90"/>
      <c r="J46" s="97" t="s">
        <v>617</v>
      </c>
      <c r="K46" s="90">
        <v>50</v>
      </c>
      <c r="L46" s="98">
        <v>2849.55752212389</v>
      </c>
      <c r="M46" s="98">
        <v>3375</v>
      </c>
      <c r="N46" s="98">
        <f t="shared" si="12"/>
        <v>525.44247787611</v>
      </c>
      <c r="O46" s="99">
        <f t="shared" si="13"/>
        <v>0.15568666011144</v>
      </c>
      <c r="P46" s="89">
        <f t="shared" si="22"/>
        <v>67.5</v>
      </c>
      <c r="Q46" s="113">
        <f t="shared" si="14"/>
        <v>3375</v>
      </c>
      <c r="R46" s="58">
        <f t="shared" si="15"/>
        <v>0.02</v>
      </c>
      <c r="S46" s="114">
        <f t="shared" si="16"/>
        <v>0.13568666011144</v>
      </c>
      <c r="T46" s="115">
        <f t="shared" si="17"/>
        <v>0.22</v>
      </c>
      <c r="U46" s="116">
        <v>0.06</v>
      </c>
      <c r="V46" s="117">
        <f t="shared" si="18"/>
        <v>0.18</v>
      </c>
      <c r="W46" s="117">
        <f t="shared" si="19"/>
        <v>-0.04431333988856</v>
      </c>
      <c r="X46" s="118" t="str">
        <f>IFERROR(SUMIF(#REF!,$A46,#REF!),"")</f>
        <v/>
      </c>
      <c r="Y46" s="126" t="e">
        <f t="shared" si="20"/>
        <v>#VALUE!</v>
      </c>
      <c r="Z46" s="127">
        <v>4100177911</v>
      </c>
      <c r="AA46" s="127"/>
      <c r="AB46" s="128" t="e">
        <f t="shared" si="21"/>
        <v>#VALUE!</v>
      </c>
    </row>
    <row r="47" ht="14.25" customHeight="1" spans="1:28">
      <c r="A47" s="89"/>
      <c r="B47" s="89"/>
      <c r="C47" s="90" t="s">
        <v>361</v>
      </c>
      <c r="D47" s="90" t="s">
        <v>98</v>
      </c>
      <c r="E47" s="90" t="s">
        <v>565</v>
      </c>
      <c r="F47" s="90" t="s">
        <v>352</v>
      </c>
      <c r="G47" s="90" t="s">
        <v>570</v>
      </c>
      <c r="H47" s="91">
        <v>45265</v>
      </c>
      <c r="I47" s="90"/>
      <c r="J47" s="97" t="s">
        <v>599</v>
      </c>
      <c r="K47" s="90">
        <v>3</v>
      </c>
      <c r="L47" s="98">
        <v>2770.72088652205</v>
      </c>
      <c r="M47" s="98">
        <v>4716</v>
      </c>
      <c r="N47" s="98">
        <f t="shared" si="12"/>
        <v>1945.27911347795</v>
      </c>
      <c r="O47" s="99">
        <f t="shared" si="13"/>
        <v>0.412484968930863</v>
      </c>
      <c r="P47" s="89">
        <f t="shared" si="22"/>
        <v>94.32</v>
      </c>
      <c r="Q47" s="113">
        <f t="shared" si="14"/>
        <v>282.96</v>
      </c>
      <c r="R47" s="58">
        <f t="shared" si="15"/>
        <v>0.02</v>
      </c>
      <c r="S47" s="114">
        <f t="shared" si="16"/>
        <v>0.392484968930863</v>
      </c>
      <c r="T47" s="115">
        <f t="shared" si="17"/>
        <v>0.22</v>
      </c>
      <c r="U47" s="116">
        <v>0.06</v>
      </c>
      <c r="V47" s="117">
        <f t="shared" si="18"/>
        <v>0.18</v>
      </c>
      <c r="W47" s="117" t="str">
        <f t="shared" si="19"/>
        <v/>
      </c>
      <c r="X47" s="118" t="str">
        <f>IFERROR(SUMIF(#REF!,$A47,#REF!),"")</f>
        <v/>
      </c>
      <c r="Y47" s="126" t="e">
        <f t="shared" si="20"/>
        <v>#VALUE!</v>
      </c>
      <c r="Z47" s="127">
        <v>5912296965</v>
      </c>
      <c r="AA47" s="127"/>
      <c r="AB47" s="128" t="e">
        <f t="shared" si="21"/>
        <v>#VALUE!</v>
      </c>
    </row>
    <row r="48" ht="14.25" customHeight="1" spans="1:28">
      <c r="A48" s="89"/>
      <c r="B48" s="89"/>
      <c r="C48" s="90" t="s">
        <v>361</v>
      </c>
      <c r="D48" s="90" t="s">
        <v>98</v>
      </c>
      <c r="E48" s="90" t="s">
        <v>565</v>
      </c>
      <c r="F48" s="90" t="s">
        <v>352</v>
      </c>
      <c r="G48" s="90" t="s">
        <v>621</v>
      </c>
      <c r="H48" s="91">
        <v>45266</v>
      </c>
      <c r="I48" s="90"/>
      <c r="J48" s="97" t="s">
        <v>615</v>
      </c>
      <c r="K48" s="90">
        <v>3</v>
      </c>
      <c r="L48" s="98">
        <v>1796.46017699115</v>
      </c>
      <c r="M48" s="98">
        <v>2450</v>
      </c>
      <c r="N48" s="98">
        <f t="shared" si="12"/>
        <v>653.53982300885</v>
      </c>
      <c r="O48" s="99">
        <f t="shared" si="13"/>
        <v>0.266750948166877</v>
      </c>
      <c r="P48" s="89">
        <f t="shared" si="22"/>
        <v>49</v>
      </c>
      <c r="Q48" s="113">
        <f t="shared" si="14"/>
        <v>147</v>
      </c>
      <c r="R48" s="58">
        <f t="shared" si="15"/>
        <v>0.02</v>
      </c>
      <c r="S48" s="114">
        <f t="shared" si="16"/>
        <v>0.246750948166878</v>
      </c>
      <c r="T48" s="115">
        <f t="shared" si="17"/>
        <v>0.22</v>
      </c>
      <c r="U48" s="116">
        <v>0.06</v>
      </c>
      <c r="V48" s="117">
        <f t="shared" si="18"/>
        <v>0.18</v>
      </c>
      <c r="W48" s="117" t="str">
        <f t="shared" si="19"/>
        <v/>
      </c>
      <c r="X48" s="118" t="str">
        <f>IFERROR(SUMIF(#REF!,$A48,#REF!),"")</f>
        <v/>
      </c>
      <c r="Y48" s="126" t="e">
        <f t="shared" si="20"/>
        <v>#VALUE!</v>
      </c>
      <c r="Z48" s="127">
        <v>5912300991</v>
      </c>
      <c r="AA48" s="127"/>
      <c r="AB48" s="128" t="e">
        <f t="shared" si="21"/>
        <v>#VALUE!</v>
      </c>
    </row>
    <row r="49" ht="14.25" customHeight="1" spans="1:28">
      <c r="A49" s="89"/>
      <c r="B49" s="89"/>
      <c r="C49" s="90" t="s">
        <v>361</v>
      </c>
      <c r="D49" s="90" t="s">
        <v>98</v>
      </c>
      <c r="E49" s="90" t="s">
        <v>565</v>
      </c>
      <c r="F49" s="90" t="s">
        <v>352</v>
      </c>
      <c r="G49" s="90" t="s">
        <v>622</v>
      </c>
      <c r="H49" s="91">
        <v>45268</v>
      </c>
      <c r="I49" s="90"/>
      <c r="J49" s="97" t="s">
        <v>615</v>
      </c>
      <c r="K49" s="90">
        <v>11</v>
      </c>
      <c r="L49" s="98">
        <v>1796.46017699115</v>
      </c>
      <c r="M49" s="98">
        <v>2450</v>
      </c>
      <c r="N49" s="98">
        <f t="shared" si="12"/>
        <v>653.53982300885</v>
      </c>
      <c r="O49" s="99">
        <f t="shared" si="13"/>
        <v>0.266750948166877</v>
      </c>
      <c r="P49" s="89">
        <f t="shared" si="22"/>
        <v>49</v>
      </c>
      <c r="Q49" s="113">
        <f t="shared" si="14"/>
        <v>539</v>
      </c>
      <c r="R49" s="58">
        <f t="shared" si="15"/>
        <v>0.02</v>
      </c>
      <c r="S49" s="114">
        <f t="shared" si="16"/>
        <v>0.246750948166878</v>
      </c>
      <c r="T49" s="115">
        <f t="shared" si="17"/>
        <v>0.22</v>
      </c>
      <c r="U49" s="116">
        <v>0.06</v>
      </c>
      <c r="V49" s="117">
        <f t="shared" si="18"/>
        <v>0.18</v>
      </c>
      <c r="W49" s="117" t="str">
        <f t="shared" si="19"/>
        <v/>
      </c>
      <c r="X49" s="118" t="str">
        <f>IFERROR(SUMIF(#REF!,$A49,#REF!),"")</f>
        <v/>
      </c>
      <c r="Y49" s="126" t="e">
        <f t="shared" si="20"/>
        <v>#VALUE!</v>
      </c>
      <c r="Z49" s="127">
        <v>5912339935</v>
      </c>
      <c r="AA49" s="127"/>
      <c r="AB49" s="128" t="e">
        <f t="shared" si="21"/>
        <v>#VALUE!</v>
      </c>
    </row>
    <row r="50" ht="14.25" customHeight="1" spans="1:28">
      <c r="A50" s="89"/>
      <c r="B50" s="89"/>
      <c r="C50" s="90" t="s">
        <v>361</v>
      </c>
      <c r="D50" s="90" t="s">
        <v>98</v>
      </c>
      <c r="E50" s="90" t="s">
        <v>565</v>
      </c>
      <c r="F50" s="90" t="s">
        <v>352</v>
      </c>
      <c r="G50" s="90" t="s">
        <v>623</v>
      </c>
      <c r="H50" s="91">
        <v>45268</v>
      </c>
      <c r="I50" s="90"/>
      <c r="J50" s="97" t="s">
        <v>615</v>
      </c>
      <c r="K50" s="90">
        <v>7</v>
      </c>
      <c r="L50" s="98">
        <v>1796.46017699115</v>
      </c>
      <c r="M50" s="98">
        <v>2450</v>
      </c>
      <c r="N50" s="98">
        <f t="shared" ref="N50:N79" si="23">M50-L50</f>
        <v>653.53982300885</v>
      </c>
      <c r="O50" s="99">
        <f t="shared" si="13"/>
        <v>0.266750948166877</v>
      </c>
      <c r="P50" s="89">
        <f t="shared" si="22"/>
        <v>49</v>
      </c>
      <c r="Q50" s="113">
        <f t="shared" si="14"/>
        <v>343</v>
      </c>
      <c r="R50" s="58">
        <f t="shared" si="15"/>
        <v>0.02</v>
      </c>
      <c r="S50" s="114">
        <f t="shared" si="16"/>
        <v>0.246750948166877</v>
      </c>
      <c r="T50" s="115">
        <f t="shared" si="17"/>
        <v>0.22</v>
      </c>
      <c r="U50" s="116">
        <v>0.06</v>
      </c>
      <c r="V50" s="117">
        <f t="shared" si="18"/>
        <v>0.18</v>
      </c>
      <c r="W50" s="117" t="str">
        <f t="shared" si="19"/>
        <v/>
      </c>
      <c r="X50" s="118" t="str">
        <f>IFERROR(SUMIF(#REF!,$A50,#REF!),"")</f>
        <v/>
      </c>
      <c r="Y50" s="126" t="e">
        <f t="shared" si="20"/>
        <v>#VALUE!</v>
      </c>
      <c r="Z50" s="127">
        <v>5912339936</v>
      </c>
      <c r="AA50" s="127"/>
      <c r="AB50" s="128" t="e">
        <f t="shared" si="21"/>
        <v>#VALUE!</v>
      </c>
    </row>
    <row r="51" ht="14.25" customHeight="1" spans="1:28">
      <c r="A51" s="89"/>
      <c r="B51" s="89"/>
      <c r="C51" s="90" t="s">
        <v>361</v>
      </c>
      <c r="D51" s="90" t="s">
        <v>98</v>
      </c>
      <c r="E51" s="90" t="s">
        <v>565</v>
      </c>
      <c r="F51" s="90" t="s">
        <v>352</v>
      </c>
      <c r="G51" s="90" t="s">
        <v>595</v>
      </c>
      <c r="H51" s="91">
        <v>45268</v>
      </c>
      <c r="I51" s="90"/>
      <c r="J51" s="97" t="s">
        <v>615</v>
      </c>
      <c r="K51" s="90">
        <v>1</v>
      </c>
      <c r="L51" s="98">
        <v>1796.46017699115</v>
      </c>
      <c r="M51" s="98">
        <v>2450</v>
      </c>
      <c r="N51" s="98">
        <f t="shared" si="23"/>
        <v>653.53982300885</v>
      </c>
      <c r="O51" s="99">
        <f t="shared" si="13"/>
        <v>0.266750948166877</v>
      </c>
      <c r="P51" s="89">
        <f t="shared" si="22"/>
        <v>49</v>
      </c>
      <c r="Q51" s="113">
        <f t="shared" si="14"/>
        <v>49</v>
      </c>
      <c r="R51" s="58">
        <f t="shared" si="15"/>
        <v>0.02</v>
      </c>
      <c r="S51" s="114">
        <f t="shared" si="16"/>
        <v>0.246750948166878</v>
      </c>
      <c r="T51" s="115">
        <f t="shared" si="17"/>
        <v>0.22</v>
      </c>
      <c r="U51" s="116">
        <v>0.06</v>
      </c>
      <c r="V51" s="117">
        <f t="shared" si="18"/>
        <v>0.18</v>
      </c>
      <c r="W51" s="117" t="str">
        <f t="shared" si="19"/>
        <v/>
      </c>
      <c r="X51" s="118" t="str">
        <f>IFERROR(SUMIF(#REF!,$A51,#REF!),"")</f>
        <v/>
      </c>
      <c r="Y51" s="126" t="e">
        <f t="shared" si="20"/>
        <v>#VALUE!</v>
      </c>
      <c r="Z51" s="127">
        <v>5912328792</v>
      </c>
      <c r="AA51" s="127"/>
      <c r="AB51" s="128" t="e">
        <f t="shared" si="21"/>
        <v>#VALUE!</v>
      </c>
    </row>
    <row r="52" ht="14.25" customHeight="1" spans="1:28">
      <c r="A52" s="89"/>
      <c r="B52" s="89"/>
      <c r="C52" s="90" t="s">
        <v>361</v>
      </c>
      <c r="D52" s="90" t="s">
        <v>98</v>
      </c>
      <c r="E52" s="90" t="s">
        <v>565</v>
      </c>
      <c r="F52" s="90" t="s">
        <v>352</v>
      </c>
      <c r="G52" s="90" t="s">
        <v>621</v>
      </c>
      <c r="H52" s="91">
        <v>45268</v>
      </c>
      <c r="I52" s="90"/>
      <c r="J52" s="97" t="s">
        <v>615</v>
      </c>
      <c r="K52" s="90">
        <v>2</v>
      </c>
      <c r="L52" s="98">
        <v>1796.46017699115</v>
      </c>
      <c r="M52" s="98">
        <v>2450</v>
      </c>
      <c r="N52" s="98">
        <f t="shared" si="23"/>
        <v>653.53982300885</v>
      </c>
      <c r="O52" s="99">
        <f t="shared" si="13"/>
        <v>0.266750948166877</v>
      </c>
      <c r="P52" s="89">
        <f t="shared" si="22"/>
        <v>49</v>
      </c>
      <c r="Q52" s="113">
        <f t="shared" si="14"/>
        <v>98</v>
      </c>
      <c r="R52" s="58">
        <f t="shared" si="15"/>
        <v>0.02</v>
      </c>
      <c r="S52" s="114">
        <f t="shared" si="16"/>
        <v>0.246750948166878</v>
      </c>
      <c r="T52" s="115">
        <f t="shared" si="17"/>
        <v>0.22</v>
      </c>
      <c r="U52" s="116">
        <v>0.06</v>
      </c>
      <c r="V52" s="117">
        <f t="shared" si="18"/>
        <v>0.18</v>
      </c>
      <c r="W52" s="117" t="str">
        <f t="shared" si="19"/>
        <v/>
      </c>
      <c r="X52" s="118" t="str">
        <f>IFERROR(SUMIF(#REF!,$A52,#REF!),"")</f>
        <v/>
      </c>
      <c r="Y52" s="126" t="e">
        <f t="shared" si="20"/>
        <v>#VALUE!</v>
      </c>
      <c r="Z52" s="127">
        <v>5912323922</v>
      </c>
      <c r="AA52" s="127"/>
      <c r="AB52" s="128" t="e">
        <f t="shared" si="21"/>
        <v>#VALUE!</v>
      </c>
    </row>
    <row r="53" ht="14.25" customHeight="1" spans="1:28">
      <c r="A53" s="89"/>
      <c r="B53" s="89"/>
      <c r="C53" s="90" t="s">
        <v>361</v>
      </c>
      <c r="D53" s="90" t="s">
        <v>98</v>
      </c>
      <c r="E53" s="90" t="s">
        <v>565</v>
      </c>
      <c r="F53" s="90" t="s">
        <v>352</v>
      </c>
      <c r="G53" s="90" t="s">
        <v>622</v>
      </c>
      <c r="H53" s="91">
        <v>45271</v>
      </c>
      <c r="I53" s="90"/>
      <c r="J53" s="97" t="s">
        <v>615</v>
      </c>
      <c r="K53" s="90">
        <v>6</v>
      </c>
      <c r="L53" s="98">
        <v>1796.46017699115</v>
      </c>
      <c r="M53" s="98">
        <v>2450</v>
      </c>
      <c r="N53" s="98">
        <f t="shared" si="23"/>
        <v>653.53982300885</v>
      </c>
      <c r="O53" s="99">
        <f t="shared" si="13"/>
        <v>0.266750948166877</v>
      </c>
      <c r="P53" s="89">
        <f t="shared" si="22"/>
        <v>49</v>
      </c>
      <c r="Q53" s="113">
        <f t="shared" si="14"/>
        <v>294</v>
      </c>
      <c r="R53" s="58">
        <f t="shared" si="15"/>
        <v>0.02</v>
      </c>
      <c r="S53" s="114">
        <f t="shared" si="16"/>
        <v>0.246750948166878</v>
      </c>
      <c r="T53" s="115">
        <f t="shared" si="17"/>
        <v>0.22</v>
      </c>
      <c r="U53" s="116">
        <v>0.06</v>
      </c>
      <c r="V53" s="117">
        <f t="shared" si="18"/>
        <v>0.18</v>
      </c>
      <c r="W53" s="117" t="str">
        <f t="shared" si="19"/>
        <v/>
      </c>
      <c r="X53" s="118" t="str">
        <f>IFERROR(SUMIF(#REF!,$A53,#REF!),"")</f>
        <v/>
      </c>
      <c r="Y53" s="126" t="e">
        <f t="shared" si="20"/>
        <v>#VALUE!</v>
      </c>
      <c r="Z53" s="127">
        <v>5912345220</v>
      </c>
      <c r="AA53" s="127"/>
      <c r="AB53" s="128" t="e">
        <f t="shared" si="21"/>
        <v>#VALUE!</v>
      </c>
    </row>
    <row r="54" ht="14.25" customHeight="1" spans="1:28">
      <c r="A54" s="89"/>
      <c r="B54" s="89"/>
      <c r="C54" s="90" t="s">
        <v>361</v>
      </c>
      <c r="D54" s="90" t="s">
        <v>98</v>
      </c>
      <c r="E54" s="90" t="s">
        <v>565</v>
      </c>
      <c r="F54" s="90" t="s">
        <v>352</v>
      </c>
      <c r="G54" s="90" t="s">
        <v>576</v>
      </c>
      <c r="H54" s="91">
        <v>45271</v>
      </c>
      <c r="I54" s="90"/>
      <c r="J54" s="97" t="s">
        <v>606</v>
      </c>
      <c r="K54" s="90">
        <v>3</v>
      </c>
      <c r="L54" s="98">
        <v>318.58407079646</v>
      </c>
      <c r="M54" s="98">
        <v>379</v>
      </c>
      <c r="N54" s="98">
        <f t="shared" si="23"/>
        <v>60.41592920354</v>
      </c>
      <c r="O54" s="99">
        <f t="shared" si="13"/>
        <v>0.159408784178206</v>
      </c>
      <c r="P54" s="89">
        <f t="shared" si="22"/>
        <v>7.58</v>
      </c>
      <c r="Q54" s="113">
        <f t="shared" si="14"/>
        <v>22.74</v>
      </c>
      <c r="R54" s="58">
        <f t="shared" si="15"/>
        <v>0.02</v>
      </c>
      <c r="S54" s="114">
        <f t="shared" si="16"/>
        <v>0.139408784178206</v>
      </c>
      <c r="T54" s="115">
        <f t="shared" si="17"/>
        <v>0.22</v>
      </c>
      <c r="U54" s="116">
        <v>0.06</v>
      </c>
      <c r="V54" s="117">
        <f t="shared" si="18"/>
        <v>0.18</v>
      </c>
      <c r="W54" s="117">
        <f t="shared" si="19"/>
        <v>-0.0405912158217943</v>
      </c>
      <c r="X54" s="118" t="str">
        <f>IFERROR(SUMIF(#REF!,$A54,#REF!),"")</f>
        <v/>
      </c>
      <c r="Y54" s="126" t="e">
        <f t="shared" si="20"/>
        <v>#VALUE!</v>
      </c>
      <c r="Z54" s="127">
        <v>5912326928</v>
      </c>
      <c r="AA54" s="127"/>
      <c r="AB54" s="128" t="e">
        <f t="shared" si="21"/>
        <v>#VALUE!</v>
      </c>
    </row>
    <row r="55" ht="14.25" customHeight="1" spans="1:28">
      <c r="A55" s="89"/>
      <c r="B55" s="89"/>
      <c r="C55" s="90" t="s">
        <v>361</v>
      </c>
      <c r="D55" s="90" t="s">
        <v>98</v>
      </c>
      <c r="E55" s="90" t="s">
        <v>565</v>
      </c>
      <c r="F55" s="90" t="s">
        <v>352</v>
      </c>
      <c r="G55" s="90" t="s">
        <v>624</v>
      </c>
      <c r="H55" s="91">
        <v>45271</v>
      </c>
      <c r="I55" s="90"/>
      <c r="J55" s="97" t="s">
        <v>625</v>
      </c>
      <c r="K55" s="90">
        <v>1</v>
      </c>
      <c r="L55" s="98">
        <v>1221.2389380531</v>
      </c>
      <c r="M55" s="98">
        <v>1593</v>
      </c>
      <c r="N55" s="98">
        <f t="shared" si="23"/>
        <v>371.7610619469</v>
      </c>
      <c r="O55" s="99">
        <f t="shared" si="13"/>
        <v>0.233371664750094</v>
      </c>
      <c r="P55" s="89">
        <f t="shared" si="22"/>
        <v>31.86</v>
      </c>
      <c r="Q55" s="113">
        <f t="shared" si="14"/>
        <v>31.86</v>
      </c>
      <c r="R55" s="58">
        <f t="shared" si="15"/>
        <v>0.02</v>
      </c>
      <c r="S55" s="114">
        <f t="shared" si="16"/>
        <v>0.213371664750094</v>
      </c>
      <c r="T55" s="115">
        <f t="shared" si="17"/>
        <v>0.22</v>
      </c>
      <c r="U55" s="116">
        <v>0.06</v>
      </c>
      <c r="V55" s="117">
        <f t="shared" si="18"/>
        <v>0.18</v>
      </c>
      <c r="W55" s="117" t="str">
        <f t="shared" si="19"/>
        <v/>
      </c>
      <c r="X55" s="118" t="str">
        <f>IFERROR(SUMIF(#REF!,$A55,#REF!),"")</f>
        <v/>
      </c>
      <c r="Y55" s="126" t="e">
        <f t="shared" si="20"/>
        <v>#VALUE!</v>
      </c>
      <c r="Z55" s="127">
        <v>5912332576</v>
      </c>
      <c r="AA55" s="127"/>
      <c r="AB55" s="128" t="e">
        <f t="shared" si="21"/>
        <v>#VALUE!</v>
      </c>
    </row>
    <row r="56" ht="14.25" customHeight="1" spans="1:28">
      <c r="A56" s="89"/>
      <c r="B56" s="89"/>
      <c r="C56" s="90" t="s">
        <v>361</v>
      </c>
      <c r="D56" s="90" t="s">
        <v>98</v>
      </c>
      <c r="E56" s="90" t="s">
        <v>565</v>
      </c>
      <c r="F56" s="90" t="s">
        <v>352</v>
      </c>
      <c r="G56" s="90" t="s">
        <v>570</v>
      </c>
      <c r="H56" s="91">
        <v>45271</v>
      </c>
      <c r="I56" s="90"/>
      <c r="J56" s="97" t="s">
        <v>600</v>
      </c>
      <c r="K56" s="90">
        <v>1</v>
      </c>
      <c r="L56" s="98">
        <v>1274.33628318584</v>
      </c>
      <c r="M56" s="98">
        <v>1539</v>
      </c>
      <c r="N56" s="98">
        <f t="shared" si="23"/>
        <v>264.66371681416</v>
      </c>
      <c r="O56" s="99">
        <f t="shared" si="13"/>
        <v>0.171971226000104</v>
      </c>
      <c r="P56" s="89">
        <f t="shared" si="22"/>
        <v>30.78</v>
      </c>
      <c r="Q56" s="113">
        <f t="shared" si="14"/>
        <v>30.78</v>
      </c>
      <c r="R56" s="58">
        <f t="shared" si="15"/>
        <v>0.02</v>
      </c>
      <c r="S56" s="114">
        <f t="shared" si="16"/>
        <v>0.151971226000104</v>
      </c>
      <c r="T56" s="115">
        <f t="shared" si="17"/>
        <v>0.22</v>
      </c>
      <c r="U56" s="116">
        <v>0.06</v>
      </c>
      <c r="V56" s="117">
        <f t="shared" si="18"/>
        <v>0.18</v>
      </c>
      <c r="W56" s="117">
        <f t="shared" si="19"/>
        <v>-0.0280287739998961</v>
      </c>
      <c r="X56" s="118" t="str">
        <f>IFERROR(SUMIF(#REF!,$A56,#REF!),"")</f>
        <v/>
      </c>
      <c r="Y56" s="126" t="e">
        <f t="shared" si="20"/>
        <v>#VALUE!</v>
      </c>
      <c r="Z56" s="127">
        <v>5912323245</v>
      </c>
      <c r="AA56" s="127"/>
      <c r="AB56" s="128" t="e">
        <f t="shared" si="21"/>
        <v>#VALUE!</v>
      </c>
    </row>
    <row r="57" ht="14.25" customHeight="1" spans="1:28">
      <c r="A57" s="89"/>
      <c r="B57" s="89"/>
      <c r="C57" s="90" t="s">
        <v>361</v>
      </c>
      <c r="D57" s="90" t="s">
        <v>98</v>
      </c>
      <c r="E57" s="90" t="s">
        <v>564</v>
      </c>
      <c r="F57" s="90" t="s">
        <v>352</v>
      </c>
      <c r="G57" s="90" t="s">
        <v>126</v>
      </c>
      <c r="H57" s="91">
        <v>45271</v>
      </c>
      <c r="I57" s="90"/>
      <c r="J57" s="97" t="s">
        <v>284</v>
      </c>
      <c r="K57" s="90">
        <v>100</v>
      </c>
      <c r="L57" s="98">
        <v>2654.86725663717</v>
      </c>
      <c r="M57" s="98">
        <v>3585</v>
      </c>
      <c r="N57" s="98">
        <f t="shared" si="23"/>
        <v>930.13274336283</v>
      </c>
      <c r="O57" s="99">
        <f t="shared" si="13"/>
        <v>0.259451253378753</v>
      </c>
      <c r="P57" s="89">
        <f t="shared" si="22"/>
        <v>71.7</v>
      </c>
      <c r="Q57" s="113">
        <f t="shared" si="14"/>
        <v>7170</v>
      </c>
      <c r="R57" s="58">
        <f t="shared" si="15"/>
        <v>0.02</v>
      </c>
      <c r="S57" s="114">
        <f t="shared" si="16"/>
        <v>0.239451253378753</v>
      </c>
      <c r="T57" s="115">
        <f t="shared" si="17"/>
        <v>0.22</v>
      </c>
      <c r="U57" s="116">
        <v>0.06</v>
      </c>
      <c r="V57" s="117">
        <f t="shared" si="18"/>
        <v>0.18</v>
      </c>
      <c r="W57" s="117" t="str">
        <f t="shared" si="19"/>
        <v/>
      </c>
      <c r="X57" s="118" t="str">
        <f>IFERROR(SUMIF(#REF!,$A57,#REF!),"")</f>
        <v/>
      </c>
      <c r="Y57" s="126" t="e">
        <f t="shared" si="20"/>
        <v>#VALUE!</v>
      </c>
      <c r="Z57" s="127">
        <v>4100179141</v>
      </c>
      <c r="AA57" s="127"/>
      <c r="AB57" s="128" t="e">
        <f t="shared" si="21"/>
        <v>#VALUE!</v>
      </c>
    </row>
    <row r="58" ht="14.25" customHeight="1" spans="1:28">
      <c r="A58" s="89"/>
      <c r="B58" s="89"/>
      <c r="C58" s="90" t="s">
        <v>361</v>
      </c>
      <c r="D58" s="90" t="s">
        <v>98</v>
      </c>
      <c r="E58" s="90" t="s">
        <v>626</v>
      </c>
      <c r="F58" s="90" t="s">
        <v>352</v>
      </c>
      <c r="G58" s="90" t="s">
        <v>590</v>
      </c>
      <c r="H58" s="91">
        <v>45271</v>
      </c>
      <c r="I58" s="90"/>
      <c r="J58" s="97" t="s">
        <v>627</v>
      </c>
      <c r="K58" s="90">
        <v>24</v>
      </c>
      <c r="L58" s="98">
        <v>2950.44</v>
      </c>
      <c r="M58" s="98">
        <v>3595</v>
      </c>
      <c r="N58" s="98">
        <f t="shared" si="23"/>
        <v>644.56</v>
      </c>
      <c r="O58" s="99">
        <f t="shared" si="13"/>
        <v>0.179293463143255</v>
      </c>
      <c r="P58" s="89">
        <f t="shared" si="22"/>
        <v>71.9</v>
      </c>
      <c r="Q58" s="113">
        <f t="shared" si="14"/>
        <v>1725.6</v>
      </c>
      <c r="R58" s="58">
        <f t="shared" si="15"/>
        <v>0.02</v>
      </c>
      <c r="S58" s="114">
        <f t="shared" si="16"/>
        <v>0.159293463143254</v>
      </c>
      <c r="T58" s="115">
        <f t="shared" si="17"/>
        <v>0.22</v>
      </c>
      <c r="U58" s="116">
        <v>0.06</v>
      </c>
      <c r="V58" s="117">
        <f t="shared" si="18"/>
        <v>0.18</v>
      </c>
      <c r="W58" s="117">
        <f t="shared" si="19"/>
        <v>-0.0207065368567455</v>
      </c>
      <c r="X58" s="118" t="str">
        <f>IFERROR(SUMIF(#REF!,$A58,#REF!),"")</f>
        <v/>
      </c>
      <c r="Y58" s="126" t="e">
        <f t="shared" si="20"/>
        <v>#VALUE!</v>
      </c>
      <c r="Z58" s="127">
        <v>4100179131</v>
      </c>
      <c r="AA58" s="127"/>
      <c r="AB58" s="128" t="e">
        <f t="shared" si="21"/>
        <v>#VALUE!</v>
      </c>
    </row>
    <row r="59" ht="14.25" customHeight="1" spans="1:28">
      <c r="A59" s="89"/>
      <c r="B59" s="89"/>
      <c r="C59" s="90" t="s">
        <v>361</v>
      </c>
      <c r="D59" s="90" t="s">
        <v>98</v>
      </c>
      <c r="E59" s="90" t="s">
        <v>565</v>
      </c>
      <c r="F59" s="90" t="s">
        <v>352</v>
      </c>
      <c r="G59" s="90" t="s">
        <v>623</v>
      </c>
      <c r="H59" s="91">
        <v>45272</v>
      </c>
      <c r="I59" s="90"/>
      <c r="J59" s="97" t="s">
        <v>615</v>
      </c>
      <c r="K59" s="90">
        <v>2</v>
      </c>
      <c r="L59" s="98">
        <v>1796.46017699115</v>
      </c>
      <c r="M59" s="98">
        <v>2450</v>
      </c>
      <c r="N59" s="98">
        <f t="shared" si="23"/>
        <v>653.53982300885</v>
      </c>
      <c r="O59" s="99">
        <f t="shared" si="13"/>
        <v>0.266750948166877</v>
      </c>
      <c r="P59" s="89">
        <f t="shared" si="22"/>
        <v>49</v>
      </c>
      <c r="Q59" s="113">
        <f t="shared" si="14"/>
        <v>98</v>
      </c>
      <c r="R59" s="58">
        <f t="shared" si="15"/>
        <v>0.02</v>
      </c>
      <c r="S59" s="114">
        <f t="shared" si="16"/>
        <v>0.246750948166878</v>
      </c>
      <c r="T59" s="115">
        <f t="shared" si="17"/>
        <v>0.22</v>
      </c>
      <c r="U59" s="116">
        <v>0.06</v>
      </c>
      <c r="V59" s="117">
        <f t="shared" si="18"/>
        <v>0.18</v>
      </c>
      <c r="W59" s="117" t="str">
        <f t="shared" si="19"/>
        <v/>
      </c>
      <c r="X59" s="118" t="str">
        <f>IFERROR(SUMIF(#REF!,$A59,#REF!),"")</f>
        <v/>
      </c>
      <c r="Y59" s="126" t="e">
        <f t="shared" si="20"/>
        <v>#VALUE!</v>
      </c>
      <c r="Z59" s="127">
        <v>5912354440</v>
      </c>
      <c r="AA59" s="127"/>
      <c r="AB59" s="128" t="e">
        <f t="shared" si="21"/>
        <v>#VALUE!</v>
      </c>
    </row>
    <row r="60" ht="14.25" customHeight="1" spans="1:28">
      <c r="A60" s="89"/>
      <c r="B60" s="89"/>
      <c r="C60" s="90" t="s">
        <v>361</v>
      </c>
      <c r="D60" s="90" t="s">
        <v>98</v>
      </c>
      <c r="E60" s="90" t="s">
        <v>565</v>
      </c>
      <c r="F60" s="90" t="s">
        <v>352</v>
      </c>
      <c r="G60" s="90" t="s">
        <v>570</v>
      </c>
      <c r="H60" s="91">
        <v>45275</v>
      </c>
      <c r="I60" s="90"/>
      <c r="J60" s="97" t="s">
        <v>628</v>
      </c>
      <c r="K60" s="90">
        <v>2</v>
      </c>
      <c r="L60" s="98">
        <v>2725.66371681416</v>
      </c>
      <c r="M60" s="98">
        <v>4424</v>
      </c>
      <c r="N60" s="98">
        <f t="shared" si="23"/>
        <v>1698.33628318584</v>
      </c>
      <c r="O60" s="99">
        <f t="shared" si="13"/>
        <v>0.383891564915425</v>
      </c>
      <c r="P60" s="89">
        <f t="shared" si="22"/>
        <v>88.48</v>
      </c>
      <c r="Q60" s="113">
        <f t="shared" si="14"/>
        <v>176.96</v>
      </c>
      <c r="R60" s="58">
        <f t="shared" si="15"/>
        <v>0.02</v>
      </c>
      <c r="S60" s="114">
        <f t="shared" si="16"/>
        <v>0.363891564915425</v>
      </c>
      <c r="T60" s="115">
        <f t="shared" si="17"/>
        <v>0.22</v>
      </c>
      <c r="U60" s="116">
        <v>0.06</v>
      </c>
      <c r="V60" s="117">
        <f t="shared" si="18"/>
        <v>0.18</v>
      </c>
      <c r="W60" s="117" t="str">
        <f t="shared" si="19"/>
        <v/>
      </c>
      <c r="X60" s="118" t="str">
        <f>IFERROR(SUMIF(#REF!,$A60,#REF!),"")</f>
        <v/>
      </c>
      <c r="Y60" s="126" t="e">
        <f t="shared" si="20"/>
        <v>#VALUE!</v>
      </c>
      <c r="Z60" s="127">
        <v>5912384148</v>
      </c>
      <c r="AA60" s="127"/>
      <c r="AB60" s="128" t="e">
        <f t="shared" si="21"/>
        <v>#VALUE!</v>
      </c>
    </row>
    <row r="61" ht="14.25" customHeight="1" spans="1:28">
      <c r="A61" s="89"/>
      <c r="B61" s="89"/>
      <c r="C61" s="90" t="s">
        <v>361</v>
      </c>
      <c r="D61" s="90" t="s">
        <v>98</v>
      </c>
      <c r="E61" s="90" t="s">
        <v>565</v>
      </c>
      <c r="F61" s="90" t="s">
        <v>352</v>
      </c>
      <c r="G61" s="90" t="s">
        <v>629</v>
      </c>
      <c r="H61" s="91">
        <v>45275</v>
      </c>
      <c r="I61" s="90"/>
      <c r="J61" s="97" t="s">
        <v>630</v>
      </c>
      <c r="K61" s="90">
        <v>2</v>
      </c>
      <c r="L61" s="98">
        <v>1796.46017699115</v>
      </c>
      <c r="M61" s="98">
        <v>2450</v>
      </c>
      <c r="N61" s="98">
        <f t="shared" si="23"/>
        <v>653.53982300885</v>
      </c>
      <c r="O61" s="99">
        <f t="shared" si="13"/>
        <v>0.266750948166877</v>
      </c>
      <c r="P61" s="89">
        <f t="shared" si="22"/>
        <v>49</v>
      </c>
      <c r="Q61" s="113">
        <f t="shared" si="14"/>
        <v>98</v>
      </c>
      <c r="R61" s="58">
        <f t="shared" si="15"/>
        <v>0.02</v>
      </c>
      <c r="S61" s="114">
        <f t="shared" si="16"/>
        <v>0.246750948166878</v>
      </c>
      <c r="T61" s="115">
        <f t="shared" si="17"/>
        <v>0.22</v>
      </c>
      <c r="U61" s="116">
        <v>0.06</v>
      </c>
      <c r="V61" s="117">
        <f t="shared" si="18"/>
        <v>0.18</v>
      </c>
      <c r="W61" s="117" t="str">
        <f t="shared" si="19"/>
        <v/>
      </c>
      <c r="X61" s="118" t="str">
        <f>IFERROR(SUMIF(#REF!,$A61,#REF!),"")</f>
        <v/>
      </c>
      <c r="Y61" s="126" t="e">
        <f t="shared" si="20"/>
        <v>#VALUE!</v>
      </c>
      <c r="Z61" s="127">
        <v>5912381398</v>
      </c>
      <c r="AA61" s="127"/>
      <c r="AB61" s="128" t="e">
        <f t="shared" si="21"/>
        <v>#VALUE!</v>
      </c>
    </row>
    <row r="62" ht="14.25" customHeight="1" spans="1:28">
      <c r="A62" s="89"/>
      <c r="B62" s="89"/>
      <c r="C62" s="90" t="s">
        <v>361</v>
      </c>
      <c r="D62" s="90" t="s">
        <v>98</v>
      </c>
      <c r="E62" s="90" t="s">
        <v>565</v>
      </c>
      <c r="F62" s="90" t="s">
        <v>352</v>
      </c>
      <c r="G62" s="90" t="s">
        <v>570</v>
      </c>
      <c r="H62" s="91">
        <v>45275</v>
      </c>
      <c r="I62" s="90"/>
      <c r="J62" s="97" t="s">
        <v>628</v>
      </c>
      <c r="K62" s="90">
        <v>1</v>
      </c>
      <c r="L62" s="98">
        <v>2725.66371681416</v>
      </c>
      <c r="M62" s="98">
        <v>4424</v>
      </c>
      <c r="N62" s="98">
        <f t="shared" si="23"/>
        <v>1698.33628318584</v>
      </c>
      <c r="O62" s="99">
        <f t="shared" si="13"/>
        <v>0.383891564915425</v>
      </c>
      <c r="P62" s="89">
        <f t="shared" si="22"/>
        <v>88.48</v>
      </c>
      <c r="Q62" s="113">
        <f t="shared" si="14"/>
        <v>88.48</v>
      </c>
      <c r="R62" s="58">
        <f t="shared" si="15"/>
        <v>0.02</v>
      </c>
      <c r="S62" s="114">
        <f t="shared" si="16"/>
        <v>0.363891564915425</v>
      </c>
      <c r="T62" s="115">
        <f t="shared" si="17"/>
        <v>0.22</v>
      </c>
      <c r="U62" s="116">
        <v>0.06</v>
      </c>
      <c r="V62" s="117">
        <f t="shared" si="18"/>
        <v>0.18</v>
      </c>
      <c r="W62" s="117" t="str">
        <f t="shared" si="19"/>
        <v/>
      </c>
      <c r="X62" s="118" t="str">
        <f>IFERROR(SUMIF(#REF!,$A62,#REF!),"")</f>
        <v/>
      </c>
      <c r="Y62" s="126" t="e">
        <f t="shared" si="20"/>
        <v>#VALUE!</v>
      </c>
      <c r="Z62" s="127">
        <v>5912379057</v>
      </c>
      <c r="AA62" s="127"/>
      <c r="AB62" s="128" t="e">
        <f t="shared" si="21"/>
        <v>#VALUE!</v>
      </c>
    </row>
    <row r="63" ht="14.25" customHeight="1" spans="1:28">
      <c r="A63" s="89"/>
      <c r="B63" s="89"/>
      <c r="C63" s="90" t="s">
        <v>361</v>
      </c>
      <c r="D63" s="90" t="s">
        <v>98</v>
      </c>
      <c r="E63" s="90" t="s">
        <v>565</v>
      </c>
      <c r="F63" s="90" t="s">
        <v>352</v>
      </c>
      <c r="G63" s="90" t="s">
        <v>601</v>
      </c>
      <c r="H63" s="91">
        <v>45275</v>
      </c>
      <c r="I63" s="90"/>
      <c r="J63" s="97" t="s">
        <v>602</v>
      </c>
      <c r="K63" s="90">
        <v>10</v>
      </c>
      <c r="L63" s="98">
        <v>752.212389380531</v>
      </c>
      <c r="M63" s="98">
        <v>997</v>
      </c>
      <c r="N63" s="98">
        <f t="shared" si="23"/>
        <v>244.787610619469</v>
      </c>
      <c r="O63" s="99">
        <f t="shared" si="13"/>
        <v>0.245524183168976</v>
      </c>
      <c r="P63" s="89">
        <f t="shared" si="22"/>
        <v>19.94</v>
      </c>
      <c r="Q63" s="113">
        <f t="shared" si="14"/>
        <v>199.4</v>
      </c>
      <c r="R63" s="58">
        <f t="shared" si="15"/>
        <v>0.02</v>
      </c>
      <c r="S63" s="114">
        <f t="shared" si="16"/>
        <v>0.225524183168976</v>
      </c>
      <c r="T63" s="115">
        <f t="shared" si="17"/>
        <v>0.22</v>
      </c>
      <c r="U63" s="116">
        <v>0.06</v>
      </c>
      <c r="V63" s="117">
        <f t="shared" si="18"/>
        <v>0.18</v>
      </c>
      <c r="W63" s="117" t="str">
        <f t="shared" si="19"/>
        <v/>
      </c>
      <c r="X63" s="118" t="str">
        <f>IFERROR(SUMIF(#REF!,$A63,#REF!),"")</f>
        <v/>
      </c>
      <c r="Y63" s="126" t="e">
        <f t="shared" si="20"/>
        <v>#VALUE!</v>
      </c>
      <c r="Z63" s="127">
        <v>5912378887</v>
      </c>
      <c r="AA63" s="127"/>
      <c r="AB63" s="128" t="e">
        <f t="shared" si="21"/>
        <v>#VALUE!</v>
      </c>
    </row>
    <row r="64" ht="14.25" customHeight="1" spans="1:28">
      <c r="A64" s="89"/>
      <c r="B64" s="89"/>
      <c r="C64" s="90" t="s">
        <v>361</v>
      </c>
      <c r="D64" s="90" t="s">
        <v>98</v>
      </c>
      <c r="E64" s="90" t="s">
        <v>565</v>
      </c>
      <c r="F64" s="90" t="s">
        <v>352</v>
      </c>
      <c r="G64" s="90" t="s">
        <v>631</v>
      </c>
      <c r="H64" s="91">
        <v>45280</v>
      </c>
      <c r="I64" s="90"/>
      <c r="J64" s="97" t="s">
        <v>632</v>
      </c>
      <c r="K64" s="90">
        <v>9</v>
      </c>
      <c r="L64" s="98">
        <v>3011.31960216149</v>
      </c>
      <c r="M64" s="98">
        <v>3365</v>
      </c>
      <c r="N64" s="98">
        <f t="shared" si="23"/>
        <v>353.68039783851</v>
      </c>
      <c r="O64" s="99">
        <f t="shared" si="13"/>
        <v>0.105105615999557</v>
      </c>
      <c r="P64" s="89">
        <f t="shared" si="22"/>
        <v>67.3</v>
      </c>
      <c r="Q64" s="113">
        <f t="shared" si="14"/>
        <v>605.7</v>
      </c>
      <c r="R64" s="58">
        <f t="shared" si="15"/>
        <v>0.02</v>
      </c>
      <c r="S64" s="114">
        <f t="shared" si="16"/>
        <v>0.0851056159995572</v>
      </c>
      <c r="T64" s="115">
        <f t="shared" si="17"/>
        <v>0.22</v>
      </c>
      <c r="U64" s="116">
        <v>0.06</v>
      </c>
      <c r="V64" s="117">
        <f t="shared" si="18"/>
        <v>0.18</v>
      </c>
      <c r="W64" s="117">
        <f t="shared" si="19"/>
        <v>-0.0948943840004428</v>
      </c>
      <c r="X64" s="118" t="str">
        <f>IFERROR(SUMIF(#REF!,$A64,#REF!),"")</f>
        <v/>
      </c>
      <c r="Y64" s="126" t="e">
        <f t="shared" si="20"/>
        <v>#VALUE!</v>
      </c>
      <c r="Z64" s="127">
        <v>5912450073</v>
      </c>
      <c r="AA64" s="127"/>
      <c r="AB64" s="128" t="e">
        <f t="shared" si="21"/>
        <v>#VALUE!</v>
      </c>
    </row>
    <row r="65" ht="14.25" customHeight="1" spans="1:28">
      <c r="A65" s="89"/>
      <c r="B65" s="89"/>
      <c r="C65" s="90" t="s">
        <v>361</v>
      </c>
      <c r="D65" s="90" t="s">
        <v>98</v>
      </c>
      <c r="E65" s="90" t="s">
        <v>565</v>
      </c>
      <c r="F65" s="90" t="s">
        <v>352</v>
      </c>
      <c r="G65" s="90" t="s">
        <v>607</v>
      </c>
      <c r="H65" s="91">
        <v>45280</v>
      </c>
      <c r="I65" s="90"/>
      <c r="J65" s="97" t="s">
        <v>608</v>
      </c>
      <c r="K65" s="90">
        <v>15</v>
      </c>
      <c r="L65" s="98">
        <v>1796.46017699115</v>
      </c>
      <c r="M65" s="98">
        <v>2450</v>
      </c>
      <c r="N65" s="98">
        <f t="shared" si="23"/>
        <v>653.53982300885</v>
      </c>
      <c r="O65" s="99">
        <f t="shared" si="13"/>
        <v>0.266750948166877</v>
      </c>
      <c r="P65" s="89">
        <f t="shared" si="22"/>
        <v>49</v>
      </c>
      <c r="Q65" s="113">
        <f t="shared" si="14"/>
        <v>735</v>
      </c>
      <c r="R65" s="58">
        <f t="shared" si="15"/>
        <v>0.02</v>
      </c>
      <c r="S65" s="114">
        <f t="shared" si="16"/>
        <v>0.246750948166878</v>
      </c>
      <c r="T65" s="115">
        <f t="shared" si="17"/>
        <v>0.22</v>
      </c>
      <c r="U65" s="116">
        <v>0.06</v>
      </c>
      <c r="V65" s="117">
        <f t="shared" si="18"/>
        <v>0.18</v>
      </c>
      <c r="W65" s="117" t="str">
        <f t="shared" si="19"/>
        <v/>
      </c>
      <c r="X65" s="118" t="str">
        <f>IFERROR(SUMIF(#REF!,$A65,#REF!),"")</f>
        <v/>
      </c>
      <c r="Y65" s="126" t="e">
        <f t="shared" si="20"/>
        <v>#VALUE!</v>
      </c>
      <c r="Z65" s="127">
        <v>5912450031</v>
      </c>
      <c r="AA65" s="127"/>
      <c r="AB65" s="128" t="e">
        <f t="shared" si="21"/>
        <v>#VALUE!</v>
      </c>
    </row>
    <row r="66" ht="14.25" customHeight="1" spans="1:28">
      <c r="A66" s="89"/>
      <c r="B66" s="89"/>
      <c r="C66" s="90" t="s">
        <v>361</v>
      </c>
      <c r="D66" s="90" t="s">
        <v>98</v>
      </c>
      <c r="E66" s="90" t="s">
        <v>565</v>
      </c>
      <c r="F66" s="90" t="s">
        <v>352</v>
      </c>
      <c r="G66" s="90" t="s">
        <v>633</v>
      </c>
      <c r="H66" s="91">
        <v>45280</v>
      </c>
      <c r="I66" s="90"/>
      <c r="J66" s="97" t="s">
        <v>615</v>
      </c>
      <c r="K66" s="90">
        <v>11</v>
      </c>
      <c r="L66" s="98">
        <v>1796.46017699115</v>
      </c>
      <c r="M66" s="98">
        <v>2450</v>
      </c>
      <c r="N66" s="98">
        <f t="shared" si="23"/>
        <v>653.53982300885</v>
      </c>
      <c r="O66" s="99">
        <f t="shared" si="13"/>
        <v>0.266750948166877</v>
      </c>
      <c r="P66" s="89">
        <f t="shared" si="22"/>
        <v>49</v>
      </c>
      <c r="Q66" s="113">
        <f t="shared" si="14"/>
        <v>539</v>
      </c>
      <c r="R66" s="58">
        <f t="shared" si="15"/>
        <v>0.02</v>
      </c>
      <c r="S66" s="114">
        <f t="shared" si="16"/>
        <v>0.246750948166878</v>
      </c>
      <c r="T66" s="115">
        <f t="shared" si="17"/>
        <v>0.22</v>
      </c>
      <c r="U66" s="116">
        <v>0.06</v>
      </c>
      <c r="V66" s="117">
        <f t="shared" si="18"/>
        <v>0.18</v>
      </c>
      <c r="W66" s="117" t="str">
        <f t="shared" si="19"/>
        <v/>
      </c>
      <c r="X66" s="118" t="str">
        <f>IFERROR(SUMIF(#REF!,$A66,#REF!),"")</f>
        <v/>
      </c>
      <c r="Y66" s="126" t="e">
        <f t="shared" si="20"/>
        <v>#VALUE!</v>
      </c>
      <c r="Z66" s="127">
        <v>5912449806</v>
      </c>
      <c r="AA66" s="127"/>
      <c r="AB66" s="128" t="e">
        <f t="shared" si="21"/>
        <v>#VALUE!</v>
      </c>
    </row>
    <row r="67" ht="14.25" customHeight="1" spans="1:28">
      <c r="A67" s="89"/>
      <c r="B67" s="89"/>
      <c r="C67" s="90" t="s">
        <v>361</v>
      </c>
      <c r="D67" s="90" t="s">
        <v>98</v>
      </c>
      <c r="E67" s="90" t="s">
        <v>565</v>
      </c>
      <c r="F67" s="90" t="s">
        <v>352</v>
      </c>
      <c r="G67" s="90" t="s">
        <v>633</v>
      </c>
      <c r="H67" s="91">
        <v>45280</v>
      </c>
      <c r="I67" s="90"/>
      <c r="J67" s="97" t="s">
        <v>615</v>
      </c>
      <c r="K67" s="90">
        <v>8</v>
      </c>
      <c r="L67" s="98">
        <v>1796.46017699115</v>
      </c>
      <c r="M67" s="98">
        <v>2450</v>
      </c>
      <c r="N67" s="98">
        <f t="shared" si="23"/>
        <v>653.53982300885</v>
      </c>
      <c r="O67" s="99">
        <f t="shared" si="13"/>
        <v>0.266750948166877</v>
      </c>
      <c r="P67" s="89">
        <f t="shared" si="22"/>
        <v>49</v>
      </c>
      <c r="Q67" s="113">
        <f t="shared" si="14"/>
        <v>392</v>
      </c>
      <c r="R67" s="58">
        <f t="shared" si="15"/>
        <v>0.02</v>
      </c>
      <c r="S67" s="114">
        <f t="shared" si="16"/>
        <v>0.246750948166878</v>
      </c>
      <c r="T67" s="115">
        <f t="shared" si="17"/>
        <v>0.22</v>
      </c>
      <c r="U67" s="116">
        <v>0.06</v>
      </c>
      <c r="V67" s="117">
        <f t="shared" si="18"/>
        <v>0.18</v>
      </c>
      <c r="W67" s="117" t="str">
        <f t="shared" si="19"/>
        <v/>
      </c>
      <c r="X67" s="118" t="str">
        <f>IFERROR(SUMIF(#REF!,$A67,#REF!),"")</f>
        <v/>
      </c>
      <c r="Y67" s="126" t="e">
        <f t="shared" si="20"/>
        <v>#VALUE!</v>
      </c>
      <c r="Z67" s="127">
        <v>5912449806</v>
      </c>
      <c r="AA67" s="127"/>
      <c r="AB67" s="128" t="e">
        <f t="shared" si="21"/>
        <v>#VALUE!</v>
      </c>
    </row>
    <row r="68" ht="14.25" customHeight="1" spans="1:28">
      <c r="A68" s="89"/>
      <c r="B68" s="89"/>
      <c r="C68" s="90" t="s">
        <v>361</v>
      </c>
      <c r="D68" s="90" t="s">
        <v>98</v>
      </c>
      <c r="E68" s="90" t="s">
        <v>565</v>
      </c>
      <c r="F68" s="90" t="s">
        <v>352</v>
      </c>
      <c r="G68" s="90" t="s">
        <v>631</v>
      </c>
      <c r="H68" s="91">
        <v>45280</v>
      </c>
      <c r="I68" s="90"/>
      <c r="J68" s="97" t="s">
        <v>632</v>
      </c>
      <c r="K68" s="90">
        <v>20</v>
      </c>
      <c r="L68" s="98">
        <v>3011.31960216149</v>
      </c>
      <c r="M68" s="98">
        <v>3365</v>
      </c>
      <c r="N68" s="98">
        <f t="shared" si="23"/>
        <v>353.68039783851</v>
      </c>
      <c r="O68" s="99">
        <f t="shared" si="13"/>
        <v>0.105105615999557</v>
      </c>
      <c r="P68" s="89">
        <f t="shared" si="22"/>
        <v>67.3</v>
      </c>
      <c r="Q68" s="113">
        <f t="shared" si="14"/>
        <v>1346</v>
      </c>
      <c r="R68" s="58">
        <f t="shared" si="15"/>
        <v>0.02</v>
      </c>
      <c r="S68" s="114">
        <f t="shared" si="16"/>
        <v>0.0851056159995572</v>
      </c>
      <c r="T68" s="115">
        <f t="shared" si="17"/>
        <v>0.22</v>
      </c>
      <c r="U68" s="116">
        <v>0.06</v>
      </c>
      <c r="V68" s="117">
        <f t="shared" si="18"/>
        <v>0.18</v>
      </c>
      <c r="W68" s="117">
        <f t="shared" si="19"/>
        <v>-0.0948943840004428</v>
      </c>
      <c r="X68" s="118" t="str">
        <f>IFERROR(SUMIF(#REF!,$A68,#REF!),"")</f>
        <v/>
      </c>
      <c r="Y68" s="126" t="e">
        <f t="shared" si="20"/>
        <v>#VALUE!</v>
      </c>
      <c r="Z68" s="127">
        <v>5912446355</v>
      </c>
      <c r="AA68" s="127"/>
      <c r="AB68" s="128" t="e">
        <f t="shared" si="21"/>
        <v>#VALUE!</v>
      </c>
    </row>
    <row r="69" ht="14.25" customHeight="1" spans="1:28">
      <c r="A69" s="89"/>
      <c r="B69" s="89"/>
      <c r="C69" s="90" t="s">
        <v>361</v>
      </c>
      <c r="D69" s="90" t="s">
        <v>98</v>
      </c>
      <c r="E69" s="90" t="s">
        <v>634</v>
      </c>
      <c r="F69" s="90" t="s">
        <v>352</v>
      </c>
      <c r="G69" s="90" t="s">
        <v>635</v>
      </c>
      <c r="H69" s="91">
        <v>45280</v>
      </c>
      <c r="I69" s="90"/>
      <c r="J69" s="97" t="s">
        <v>328</v>
      </c>
      <c r="K69" s="90">
        <v>45</v>
      </c>
      <c r="L69" s="98">
        <v>2654.86725663717</v>
      </c>
      <c r="M69" s="98">
        <v>3585</v>
      </c>
      <c r="N69" s="98">
        <f t="shared" si="23"/>
        <v>930.13274336283</v>
      </c>
      <c r="O69" s="99">
        <f t="shared" si="13"/>
        <v>0.259451253378753</v>
      </c>
      <c r="P69" s="89">
        <f t="shared" si="22"/>
        <v>71.7</v>
      </c>
      <c r="Q69" s="113">
        <f t="shared" si="14"/>
        <v>3226.5</v>
      </c>
      <c r="R69" s="58">
        <f t="shared" si="15"/>
        <v>0.02</v>
      </c>
      <c r="S69" s="114">
        <f t="shared" si="16"/>
        <v>0.239451253378753</v>
      </c>
      <c r="T69" s="115">
        <f t="shared" si="17"/>
        <v>0.22</v>
      </c>
      <c r="U69" s="116">
        <v>0.06</v>
      </c>
      <c r="V69" s="117">
        <f t="shared" si="18"/>
        <v>0.18</v>
      </c>
      <c r="W69" s="117" t="str">
        <f t="shared" si="19"/>
        <v/>
      </c>
      <c r="X69" s="118" t="str">
        <f>IFERROR(SUMIF(#REF!,$A69,#REF!),"")</f>
        <v/>
      </c>
      <c r="Y69" s="126" t="e">
        <f t="shared" si="20"/>
        <v>#VALUE!</v>
      </c>
      <c r="Z69" s="127">
        <v>4100181081</v>
      </c>
      <c r="AA69" s="127"/>
      <c r="AB69" s="128" t="e">
        <f t="shared" si="21"/>
        <v>#VALUE!</v>
      </c>
    </row>
    <row r="70" ht="14.25" customHeight="1" spans="1:28">
      <c r="A70" s="89"/>
      <c r="B70" s="89"/>
      <c r="C70" s="90" t="s">
        <v>361</v>
      </c>
      <c r="D70" s="90" t="s">
        <v>98</v>
      </c>
      <c r="E70" s="90" t="s">
        <v>565</v>
      </c>
      <c r="F70" s="90" t="s">
        <v>352</v>
      </c>
      <c r="G70" s="90" t="s">
        <v>631</v>
      </c>
      <c r="H70" s="91">
        <v>45280</v>
      </c>
      <c r="I70" s="90"/>
      <c r="J70" s="97" t="s">
        <v>632</v>
      </c>
      <c r="K70" s="90">
        <v>7</v>
      </c>
      <c r="L70" s="98">
        <v>3011.31960216149</v>
      </c>
      <c r="M70" s="98">
        <v>3365</v>
      </c>
      <c r="N70" s="98">
        <f t="shared" si="23"/>
        <v>353.68039783851</v>
      </c>
      <c r="O70" s="99">
        <f t="shared" si="13"/>
        <v>0.105105615999557</v>
      </c>
      <c r="P70" s="89">
        <f t="shared" si="22"/>
        <v>67.3</v>
      </c>
      <c r="Q70" s="113">
        <f t="shared" si="14"/>
        <v>471.1</v>
      </c>
      <c r="R70" s="58">
        <f t="shared" si="15"/>
        <v>0.02</v>
      </c>
      <c r="S70" s="114">
        <f t="shared" si="16"/>
        <v>0.0851056159995572</v>
      </c>
      <c r="T70" s="115">
        <f t="shared" si="17"/>
        <v>0.22</v>
      </c>
      <c r="U70" s="116">
        <v>0.06</v>
      </c>
      <c r="V70" s="117">
        <f t="shared" si="18"/>
        <v>0.18</v>
      </c>
      <c r="W70" s="117">
        <f t="shared" si="19"/>
        <v>-0.0948943840004428</v>
      </c>
      <c r="X70" s="118" t="str">
        <f>IFERROR(SUMIF(#REF!,$A70,#REF!),"")</f>
        <v/>
      </c>
      <c r="Y70" s="126" t="e">
        <f t="shared" si="20"/>
        <v>#VALUE!</v>
      </c>
      <c r="Z70" s="127">
        <v>5912450636</v>
      </c>
      <c r="AA70" s="127"/>
      <c r="AB70" s="128" t="e">
        <f t="shared" si="21"/>
        <v>#VALUE!</v>
      </c>
    </row>
    <row r="71" ht="14.25" customHeight="1" spans="1:28">
      <c r="A71" s="89"/>
      <c r="B71" s="89"/>
      <c r="C71" s="90" t="s">
        <v>361</v>
      </c>
      <c r="D71" s="90" t="s">
        <v>98</v>
      </c>
      <c r="E71" s="90" t="s">
        <v>634</v>
      </c>
      <c r="F71" s="90" t="s">
        <v>352</v>
      </c>
      <c r="G71" s="90" t="s">
        <v>635</v>
      </c>
      <c r="H71" s="91">
        <v>45285</v>
      </c>
      <c r="I71" s="90"/>
      <c r="J71" s="97" t="s">
        <v>328</v>
      </c>
      <c r="K71" s="90">
        <v>35</v>
      </c>
      <c r="L71" s="98">
        <v>2654.86725663717</v>
      </c>
      <c r="M71" s="98">
        <v>3585</v>
      </c>
      <c r="N71" s="98">
        <f t="shared" si="23"/>
        <v>930.13274336283</v>
      </c>
      <c r="O71" s="99">
        <f t="shared" si="13"/>
        <v>0.259451253378753</v>
      </c>
      <c r="P71" s="89">
        <f t="shared" si="22"/>
        <v>71.7</v>
      </c>
      <c r="Q71" s="113">
        <f t="shared" si="14"/>
        <v>2509.5</v>
      </c>
      <c r="R71" s="58">
        <f t="shared" si="15"/>
        <v>0.02</v>
      </c>
      <c r="S71" s="114">
        <f t="shared" si="16"/>
        <v>0.239451253378753</v>
      </c>
      <c r="T71" s="115">
        <f t="shared" si="17"/>
        <v>0.22</v>
      </c>
      <c r="U71" s="116">
        <v>0.06</v>
      </c>
      <c r="V71" s="117">
        <f t="shared" si="18"/>
        <v>0.18</v>
      </c>
      <c r="W71" s="117" t="str">
        <f t="shared" si="19"/>
        <v/>
      </c>
      <c r="X71" s="118" t="str">
        <f>IFERROR(SUMIF(#REF!,$A71,#REF!),"")</f>
        <v/>
      </c>
      <c r="Y71" s="126" t="e">
        <f t="shared" si="20"/>
        <v>#VALUE!</v>
      </c>
      <c r="Z71" s="127">
        <v>4100181544</v>
      </c>
      <c r="AA71" s="127"/>
      <c r="AB71" s="128" t="e">
        <f t="shared" si="21"/>
        <v>#VALUE!</v>
      </c>
    </row>
    <row r="72" ht="14.25" customHeight="1" spans="1:28">
      <c r="A72" s="89"/>
      <c r="B72" s="89"/>
      <c r="C72" s="90" t="s">
        <v>361</v>
      </c>
      <c r="D72" s="90" t="s">
        <v>98</v>
      </c>
      <c r="E72" s="90" t="s">
        <v>565</v>
      </c>
      <c r="F72" s="90" t="s">
        <v>352</v>
      </c>
      <c r="G72" s="90" t="s">
        <v>623</v>
      </c>
      <c r="H72" s="91">
        <v>45286</v>
      </c>
      <c r="I72" s="90"/>
      <c r="J72" s="97" t="s">
        <v>615</v>
      </c>
      <c r="K72" s="90">
        <v>4</v>
      </c>
      <c r="L72" s="98">
        <v>1796.46017699115</v>
      </c>
      <c r="M72" s="98">
        <v>2450</v>
      </c>
      <c r="N72" s="98">
        <f t="shared" si="23"/>
        <v>653.53982300885</v>
      </c>
      <c r="O72" s="99">
        <f t="shared" si="13"/>
        <v>0.266750948166877</v>
      </c>
      <c r="P72" s="89">
        <f t="shared" si="22"/>
        <v>49</v>
      </c>
      <c r="Q72" s="113">
        <f t="shared" si="14"/>
        <v>196</v>
      </c>
      <c r="R72" s="58">
        <f t="shared" si="15"/>
        <v>0.02</v>
      </c>
      <c r="S72" s="114">
        <f t="shared" si="16"/>
        <v>0.246750948166878</v>
      </c>
      <c r="T72" s="115">
        <f t="shared" si="17"/>
        <v>0.22</v>
      </c>
      <c r="U72" s="116">
        <v>0.06</v>
      </c>
      <c r="V72" s="117">
        <f t="shared" si="18"/>
        <v>0.18</v>
      </c>
      <c r="W72" s="117" t="str">
        <f t="shared" si="19"/>
        <v/>
      </c>
      <c r="X72" s="118" t="str">
        <f>IFERROR(SUMIF(#REF!,$A72,#REF!),"")</f>
        <v/>
      </c>
      <c r="Y72" s="126" t="e">
        <f t="shared" si="20"/>
        <v>#VALUE!</v>
      </c>
      <c r="Z72" s="127">
        <v>5912494703</v>
      </c>
      <c r="AA72" s="127"/>
      <c r="AB72" s="128" t="e">
        <f t="shared" si="21"/>
        <v>#VALUE!</v>
      </c>
    </row>
    <row r="73" ht="14.25" customHeight="1" spans="1:28">
      <c r="A73" s="89"/>
      <c r="B73" s="89"/>
      <c r="C73" s="90" t="s">
        <v>361</v>
      </c>
      <c r="D73" s="90" t="s">
        <v>98</v>
      </c>
      <c r="E73" s="90" t="s">
        <v>626</v>
      </c>
      <c r="F73" s="90" t="s">
        <v>352</v>
      </c>
      <c r="G73" s="90" t="s">
        <v>591</v>
      </c>
      <c r="H73" s="91">
        <v>45287</v>
      </c>
      <c r="I73" s="90"/>
      <c r="J73" s="97" t="s">
        <v>636</v>
      </c>
      <c r="K73" s="90">
        <v>1</v>
      </c>
      <c r="L73" s="98">
        <v>2676.99</v>
      </c>
      <c r="M73" s="98">
        <v>3298</v>
      </c>
      <c r="N73" s="98">
        <f t="shared" si="23"/>
        <v>621.01</v>
      </c>
      <c r="O73" s="99">
        <f t="shared" si="13"/>
        <v>0.188298969072165</v>
      </c>
      <c r="P73" s="89">
        <f t="shared" si="22"/>
        <v>65.96</v>
      </c>
      <c r="Q73" s="113">
        <f t="shared" si="14"/>
        <v>65.96</v>
      </c>
      <c r="R73" s="58">
        <f t="shared" si="15"/>
        <v>0.02</v>
      </c>
      <c r="S73" s="114">
        <f t="shared" si="16"/>
        <v>0.168298969072165</v>
      </c>
      <c r="T73" s="115">
        <f t="shared" si="17"/>
        <v>0.22</v>
      </c>
      <c r="U73" s="116">
        <v>0.06</v>
      </c>
      <c r="V73" s="117">
        <f t="shared" si="18"/>
        <v>0.18</v>
      </c>
      <c r="W73" s="117">
        <f t="shared" si="19"/>
        <v>-0.011701030927835</v>
      </c>
      <c r="X73" s="118" t="str">
        <f>IFERROR(SUMIF(#REF!,$A73,#REF!),"")</f>
        <v/>
      </c>
      <c r="Y73" s="126" t="e">
        <f t="shared" si="20"/>
        <v>#VALUE!</v>
      </c>
      <c r="Z73" s="127">
        <v>4100182145</v>
      </c>
      <c r="AA73" s="127"/>
      <c r="AB73" s="128" t="e">
        <f t="shared" si="21"/>
        <v>#VALUE!</v>
      </c>
    </row>
    <row r="74" ht="14.25" customHeight="1" spans="1:28">
      <c r="A74" s="89"/>
      <c r="B74" s="89"/>
      <c r="C74" s="90" t="s">
        <v>361</v>
      </c>
      <c r="D74" s="90" t="s">
        <v>98</v>
      </c>
      <c r="E74" s="90" t="s">
        <v>626</v>
      </c>
      <c r="F74" s="90" t="s">
        <v>352</v>
      </c>
      <c r="G74" s="90" t="s">
        <v>591</v>
      </c>
      <c r="H74" s="91">
        <v>45287</v>
      </c>
      <c r="I74" s="90"/>
      <c r="J74" s="97" t="s">
        <v>637</v>
      </c>
      <c r="K74" s="90">
        <v>9</v>
      </c>
      <c r="L74" s="98">
        <v>2676.99</v>
      </c>
      <c r="M74" s="98">
        <v>3298</v>
      </c>
      <c r="N74" s="98">
        <f t="shared" si="23"/>
        <v>621.01</v>
      </c>
      <c r="O74" s="99">
        <f t="shared" si="13"/>
        <v>0.188298969072165</v>
      </c>
      <c r="P74" s="89">
        <f t="shared" si="22"/>
        <v>65.96</v>
      </c>
      <c r="Q74" s="113">
        <f t="shared" si="14"/>
        <v>593.64</v>
      </c>
      <c r="R74" s="58">
        <f t="shared" si="15"/>
        <v>0.02</v>
      </c>
      <c r="S74" s="114">
        <f t="shared" si="16"/>
        <v>0.168298969072165</v>
      </c>
      <c r="T74" s="115">
        <f t="shared" si="17"/>
        <v>0.22</v>
      </c>
      <c r="U74" s="116">
        <v>0.06</v>
      </c>
      <c r="V74" s="117">
        <f t="shared" si="18"/>
        <v>0.18</v>
      </c>
      <c r="W74" s="117">
        <f t="shared" si="19"/>
        <v>-0.011701030927835</v>
      </c>
      <c r="X74" s="118" t="str">
        <f>IFERROR(SUMIF(#REF!,$A74,#REF!),"")</f>
        <v/>
      </c>
      <c r="Y74" s="126" t="e">
        <f t="shared" si="20"/>
        <v>#VALUE!</v>
      </c>
      <c r="Z74" s="127">
        <v>4100182145</v>
      </c>
      <c r="AA74" s="127"/>
      <c r="AB74" s="128" t="e">
        <f t="shared" si="21"/>
        <v>#VALUE!</v>
      </c>
    </row>
    <row r="75" ht="14.25" customHeight="1" spans="1:28">
      <c r="A75" s="89"/>
      <c r="B75" s="89"/>
      <c r="C75" s="90" t="s">
        <v>361</v>
      </c>
      <c r="D75" s="90" t="s">
        <v>98</v>
      </c>
      <c r="E75" s="90" t="s">
        <v>626</v>
      </c>
      <c r="F75" s="90" t="s">
        <v>352</v>
      </c>
      <c r="G75" s="90" t="s">
        <v>591</v>
      </c>
      <c r="H75" s="91">
        <v>45287</v>
      </c>
      <c r="I75" s="90"/>
      <c r="J75" s="97" t="s">
        <v>638</v>
      </c>
      <c r="K75" s="90">
        <v>1</v>
      </c>
      <c r="L75" s="98">
        <v>2676.99</v>
      </c>
      <c r="M75" s="98">
        <v>3298</v>
      </c>
      <c r="N75" s="98">
        <f t="shared" si="23"/>
        <v>621.01</v>
      </c>
      <c r="O75" s="99">
        <f t="shared" si="13"/>
        <v>0.188298969072165</v>
      </c>
      <c r="P75" s="89">
        <f t="shared" si="22"/>
        <v>65.96</v>
      </c>
      <c r="Q75" s="113">
        <f t="shared" si="14"/>
        <v>65.96</v>
      </c>
      <c r="R75" s="58">
        <f t="shared" si="15"/>
        <v>0.02</v>
      </c>
      <c r="S75" s="114">
        <f t="shared" si="16"/>
        <v>0.168298969072165</v>
      </c>
      <c r="T75" s="115">
        <f t="shared" si="17"/>
        <v>0.22</v>
      </c>
      <c r="U75" s="116">
        <v>0.06</v>
      </c>
      <c r="V75" s="117">
        <f t="shared" si="18"/>
        <v>0.18</v>
      </c>
      <c r="W75" s="117">
        <f t="shared" si="19"/>
        <v>-0.011701030927835</v>
      </c>
      <c r="X75" s="118" t="str">
        <f>IFERROR(SUMIF(#REF!,$A75,#REF!),"")</f>
        <v/>
      </c>
      <c r="Y75" s="126" t="e">
        <f t="shared" si="20"/>
        <v>#VALUE!</v>
      </c>
      <c r="Z75" s="127">
        <v>4100182145</v>
      </c>
      <c r="AA75" s="127"/>
      <c r="AB75" s="128" t="e">
        <f t="shared" si="21"/>
        <v>#VALUE!</v>
      </c>
    </row>
    <row r="76" ht="14.25" customHeight="1" spans="1:28">
      <c r="A76" s="89"/>
      <c r="B76" s="89"/>
      <c r="C76" s="90" t="s">
        <v>361</v>
      </c>
      <c r="D76" s="90" t="s">
        <v>98</v>
      </c>
      <c r="E76" s="90" t="s">
        <v>626</v>
      </c>
      <c r="F76" s="90" t="s">
        <v>352</v>
      </c>
      <c r="G76" s="90" t="s">
        <v>591</v>
      </c>
      <c r="H76" s="91">
        <v>45287</v>
      </c>
      <c r="I76" s="90"/>
      <c r="J76" s="97" t="s">
        <v>638</v>
      </c>
      <c r="K76" s="90">
        <v>7</v>
      </c>
      <c r="L76" s="98">
        <v>2676.99</v>
      </c>
      <c r="M76" s="98">
        <v>3298</v>
      </c>
      <c r="N76" s="98">
        <f t="shared" si="23"/>
        <v>621.01</v>
      </c>
      <c r="O76" s="99">
        <f t="shared" si="13"/>
        <v>0.188298969072165</v>
      </c>
      <c r="P76" s="89">
        <f t="shared" si="22"/>
        <v>65.96</v>
      </c>
      <c r="Q76" s="113">
        <f t="shared" si="14"/>
        <v>461.72</v>
      </c>
      <c r="R76" s="58">
        <f t="shared" si="15"/>
        <v>0.02</v>
      </c>
      <c r="S76" s="114">
        <f t="shared" si="16"/>
        <v>0.168298969072165</v>
      </c>
      <c r="T76" s="115">
        <f t="shared" si="17"/>
        <v>0.22</v>
      </c>
      <c r="U76" s="116">
        <v>0.06</v>
      </c>
      <c r="V76" s="117">
        <f t="shared" si="18"/>
        <v>0.18</v>
      </c>
      <c r="W76" s="117">
        <f t="shared" si="19"/>
        <v>-0.011701030927835</v>
      </c>
      <c r="X76" s="118" t="str">
        <f>IFERROR(SUMIF(#REF!,$A76,#REF!),"")</f>
        <v/>
      </c>
      <c r="Y76" s="126" t="e">
        <f t="shared" si="20"/>
        <v>#VALUE!</v>
      </c>
      <c r="Z76" s="127">
        <v>4100182145</v>
      </c>
      <c r="AA76" s="127"/>
      <c r="AB76" s="128" t="e">
        <f t="shared" si="21"/>
        <v>#VALUE!</v>
      </c>
    </row>
    <row r="77" ht="14.25" customHeight="1" spans="1:28">
      <c r="A77" s="89"/>
      <c r="B77" s="89"/>
      <c r="C77" s="90" t="s">
        <v>361</v>
      </c>
      <c r="D77" s="90" t="s">
        <v>98</v>
      </c>
      <c r="E77" s="90" t="s">
        <v>565</v>
      </c>
      <c r="F77" s="90" t="s">
        <v>352</v>
      </c>
      <c r="G77" s="90" t="s">
        <v>623</v>
      </c>
      <c r="H77" s="91">
        <v>45287</v>
      </c>
      <c r="I77" s="90"/>
      <c r="J77" s="97" t="s">
        <v>615</v>
      </c>
      <c r="K77" s="90">
        <v>2</v>
      </c>
      <c r="L77" s="98">
        <v>1796.46017699115</v>
      </c>
      <c r="M77" s="98">
        <v>2450</v>
      </c>
      <c r="N77" s="98">
        <f t="shared" si="23"/>
        <v>653.53982300885</v>
      </c>
      <c r="O77" s="99">
        <f t="shared" si="13"/>
        <v>0.266750948166877</v>
      </c>
      <c r="P77" s="89">
        <f t="shared" si="22"/>
        <v>49</v>
      </c>
      <c r="Q77" s="113">
        <f t="shared" si="14"/>
        <v>98</v>
      </c>
      <c r="R77" s="58">
        <f t="shared" si="15"/>
        <v>0.02</v>
      </c>
      <c r="S77" s="114">
        <f t="shared" si="16"/>
        <v>0.246750948166878</v>
      </c>
      <c r="T77" s="115">
        <f t="shared" si="17"/>
        <v>0.22</v>
      </c>
      <c r="U77" s="116">
        <v>0.06</v>
      </c>
      <c r="V77" s="117">
        <f t="shared" si="18"/>
        <v>0.18</v>
      </c>
      <c r="W77" s="117" t="str">
        <f t="shared" si="19"/>
        <v/>
      </c>
      <c r="X77" s="118" t="str">
        <f>IFERROR(SUMIF(#REF!,$A77,#REF!),"")</f>
        <v/>
      </c>
      <c r="Y77" s="126" t="e">
        <f t="shared" si="20"/>
        <v>#VALUE!</v>
      </c>
      <c r="Z77" s="127">
        <v>5912509101</v>
      </c>
      <c r="AA77" s="127"/>
      <c r="AB77" s="128" t="e">
        <f t="shared" si="21"/>
        <v>#VALUE!</v>
      </c>
    </row>
    <row r="78" ht="14.25" customHeight="1" spans="1:28">
      <c r="A78" s="89"/>
      <c r="B78" s="89"/>
      <c r="C78" s="90" t="s">
        <v>361</v>
      </c>
      <c r="D78" s="90" t="s">
        <v>98</v>
      </c>
      <c r="E78" s="90" t="s">
        <v>565</v>
      </c>
      <c r="F78" s="90" t="s">
        <v>352</v>
      </c>
      <c r="G78" s="90" t="s">
        <v>631</v>
      </c>
      <c r="H78" s="91">
        <v>45287</v>
      </c>
      <c r="I78" s="90"/>
      <c r="J78" s="97" t="s">
        <v>639</v>
      </c>
      <c r="K78" s="90">
        <v>5</v>
      </c>
      <c r="L78" s="98">
        <v>2646</v>
      </c>
      <c r="M78" s="98">
        <v>3317</v>
      </c>
      <c r="N78" s="98">
        <f t="shared" si="23"/>
        <v>671</v>
      </c>
      <c r="O78" s="99">
        <f t="shared" si="13"/>
        <v>0.202291227012361</v>
      </c>
      <c r="P78" s="89">
        <f t="shared" si="22"/>
        <v>66.34</v>
      </c>
      <c r="Q78" s="113">
        <f t="shared" si="14"/>
        <v>331.7</v>
      </c>
      <c r="R78" s="58">
        <f t="shared" si="15"/>
        <v>0.02</v>
      </c>
      <c r="S78" s="114">
        <f t="shared" si="16"/>
        <v>0.182291227012361</v>
      </c>
      <c r="T78" s="115">
        <f t="shared" si="17"/>
        <v>0.22</v>
      </c>
      <c r="U78" s="116">
        <v>0.06</v>
      </c>
      <c r="V78" s="117">
        <f t="shared" si="18"/>
        <v>0.18</v>
      </c>
      <c r="W78" s="117" t="str">
        <f t="shared" si="19"/>
        <v/>
      </c>
      <c r="X78" s="118" t="str">
        <f>IFERROR(SUMIF(#REF!,$A78,#REF!),"")</f>
        <v/>
      </c>
      <c r="Y78" s="126" t="e">
        <f t="shared" si="20"/>
        <v>#VALUE!</v>
      </c>
      <c r="Z78" s="127">
        <v>5912509267</v>
      </c>
      <c r="AA78" s="127"/>
      <c r="AB78" s="128" t="e">
        <f t="shared" si="21"/>
        <v>#VALUE!</v>
      </c>
    </row>
    <row r="79" ht="14.25" customHeight="1" spans="1:28">
      <c r="A79" s="89"/>
      <c r="B79" s="89"/>
      <c r="C79" s="90" t="s">
        <v>361</v>
      </c>
      <c r="D79" s="90" t="s">
        <v>98</v>
      </c>
      <c r="E79" s="90" t="s">
        <v>565</v>
      </c>
      <c r="F79" s="90" t="s">
        <v>352</v>
      </c>
      <c r="G79" s="90" t="s">
        <v>570</v>
      </c>
      <c r="H79" s="91">
        <v>45289</v>
      </c>
      <c r="I79" s="90"/>
      <c r="J79" s="97" t="s">
        <v>599</v>
      </c>
      <c r="K79" s="90">
        <v>1</v>
      </c>
      <c r="L79" s="98">
        <v>2770.72088652205</v>
      </c>
      <c r="M79" s="98">
        <v>4716</v>
      </c>
      <c r="N79" s="98">
        <f t="shared" si="23"/>
        <v>1945.27911347795</v>
      </c>
      <c r="O79" s="99">
        <f t="shared" si="13"/>
        <v>0.412484968930863</v>
      </c>
      <c r="P79" s="89">
        <f t="shared" si="22"/>
        <v>94.32</v>
      </c>
      <c r="Q79" s="113">
        <f t="shared" si="14"/>
        <v>94.32</v>
      </c>
      <c r="R79" s="58">
        <f t="shared" si="15"/>
        <v>0.02</v>
      </c>
      <c r="S79" s="114">
        <f t="shared" si="16"/>
        <v>0.392484968930863</v>
      </c>
      <c r="T79" s="115">
        <f t="shared" si="17"/>
        <v>0.22</v>
      </c>
      <c r="U79" s="116">
        <v>0.06</v>
      </c>
      <c r="V79" s="117">
        <f t="shared" si="18"/>
        <v>0.18</v>
      </c>
      <c r="W79" s="117" t="str">
        <f t="shared" si="19"/>
        <v/>
      </c>
      <c r="X79" s="118" t="str">
        <f>IFERROR(SUMIF(#REF!,$A79,#REF!),"")</f>
        <v/>
      </c>
      <c r="Y79" s="126" t="e">
        <f t="shared" si="20"/>
        <v>#VALUE!</v>
      </c>
      <c r="Z79" s="127">
        <v>5912528081</v>
      </c>
      <c r="AA79" s="127"/>
      <c r="AB79" s="128" t="e">
        <f t="shared" si="21"/>
        <v>#VALUE!</v>
      </c>
    </row>
    <row r="80" ht="24" spans="1:26">
      <c r="A80" s="129"/>
      <c r="B80" s="129"/>
      <c r="C80" s="90" t="s">
        <v>361</v>
      </c>
      <c r="D80" s="129"/>
      <c r="E80" s="130" t="s">
        <v>565</v>
      </c>
      <c r="F80" s="130" t="s">
        <v>352</v>
      </c>
      <c r="G80" s="130" t="s">
        <v>570</v>
      </c>
      <c r="H80" s="131">
        <v>45301</v>
      </c>
      <c r="I80" s="129"/>
      <c r="J80" s="135" t="s">
        <v>571</v>
      </c>
      <c r="K80" s="29">
        <v>1</v>
      </c>
      <c r="L80" s="136">
        <v>2534.22</v>
      </c>
      <c r="M80" s="137">
        <v>3545</v>
      </c>
      <c r="N80" s="98">
        <f t="shared" ref="N80:N111" si="24">M80-L80</f>
        <v>1010.78</v>
      </c>
      <c r="O80" s="99">
        <f t="shared" ref="O80:O111" si="25">IF(AND($N80&lt;&gt;0,$M80&lt;&gt;0),$N80/$M80,"")</f>
        <v>0.285128349788434</v>
      </c>
      <c r="P80" s="89">
        <f t="shared" ref="P80:P111" si="26">M80*0.02</f>
        <v>70.9</v>
      </c>
      <c r="Q80" s="113">
        <f t="shared" ref="Q80:Q111" si="27">P80*K80</f>
        <v>70.9</v>
      </c>
      <c r="R80" s="58">
        <f t="shared" ref="R80:R111" si="28">IF(AND($P80&lt;&gt;0,$M80&lt;&gt;0),$P80/$M80,"")</f>
        <v>0.02</v>
      </c>
      <c r="S80" s="114">
        <f t="shared" ref="S80:S111" si="29">IF(AND(($N80*$K80-$Q80)&lt;&gt;0,($M80*$K80)&lt;&gt;0),($N80*$K80-$Q80)/($M80*$K80),"")</f>
        <v>0.265128349788434</v>
      </c>
      <c r="T80" s="115">
        <f t="shared" ref="T80:T111" si="30">IF($C80="深圳福达通",22%,IF($C80="康为",26%,IF($C80="新浪潮",26%,IF($C80="湖南飞英达",25%,IF($C80="志奋领",26%)))))</f>
        <v>0.22</v>
      </c>
      <c r="U80" s="116">
        <v>0.06</v>
      </c>
      <c r="V80" s="117">
        <f t="shared" ref="V80:V111" si="31">IF(T80-U80+R80&gt;0,T80-U80+R80,IF(T80-U80+R80=0,""))</f>
        <v>0.18</v>
      </c>
      <c r="W80" s="117" t="str">
        <f t="shared" ref="W80:W111" si="32">IF(S80-V80&lt;0,S80-V80,IF(S80-V80&gt;0,""))</f>
        <v/>
      </c>
      <c r="X80" s="129"/>
      <c r="Y80" s="126">
        <f t="shared" ref="Y80:Y111" si="33">IF(AND(($N80*$K80-$X80)&lt;&gt;0,($M80*$K80)&lt;&gt;0),($N80*$K80-$X80)/($M80*$K80),"")</f>
        <v>0.285128349788434</v>
      </c>
      <c r="Z80" s="130">
        <v>5912623316</v>
      </c>
    </row>
    <row r="81" ht="24" spans="1:26">
      <c r="A81" s="129"/>
      <c r="B81" s="129"/>
      <c r="C81" s="90" t="s">
        <v>361</v>
      </c>
      <c r="D81" s="129"/>
      <c r="E81" s="130" t="s">
        <v>565</v>
      </c>
      <c r="F81" s="130" t="s">
        <v>352</v>
      </c>
      <c r="G81" s="130" t="s">
        <v>607</v>
      </c>
      <c r="H81" s="131">
        <v>45301</v>
      </c>
      <c r="I81" s="129"/>
      <c r="J81" s="135" t="s">
        <v>640</v>
      </c>
      <c r="K81" s="29">
        <v>1</v>
      </c>
      <c r="L81" s="136">
        <v>1349.56</v>
      </c>
      <c r="M81" s="138">
        <v>1550</v>
      </c>
      <c r="N81" s="98">
        <f t="shared" si="24"/>
        <v>200.44</v>
      </c>
      <c r="O81" s="99">
        <f t="shared" si="25"/>
        <v>0.129316129032258</v>
      </c>
      <c r="P81" s="89">
        <f t="shared" si="26"/>
        <v>31</v>
      </c>
      <c r="Q81" s="113">
        <f t="shared" si="27"/>
        <v>31</v>
      </c>
      <c r="R81" s="58">
        <f t="shared" si="28"/>
        <v>0.02</v>
      </c>
      <c r="S81" s="114">
        <f t="shared" si="29"/>
        <v>0.109316129032258</v>
      </c>
      <c r="T81" s="115">
        <f t="shared" si="30"/>
        <v>0.22</v>
      </c>
      <c r="U81" s="116">
        <v>0.06</v>
      </c>
      <c r="V81" s="117">
        <f t="shared" si="31"/>
        <v>0.18</v>
      </c>
      <c r="W81" s="117">
        <f t="shared" si="32"/>
        <v>-0.0706838709677419</v>
      </c>
      <c r="X81" s="129"/>
      <c r="Y81" s="126">
        <f t="shared" si="33"/>
        <v>0.129316129032258</v>
      </c>
      <c r="Z81" s="130">
        <v>5912626326</v>
      </c>
    </row>
    <row r="82" ht="24" spans="1:26">
      <c r="A82" s="129"/>
      <c r="B82" s="129"/>
      <c r="C82" s="90" t="s">
        <v>361</v>
      </c>
      <c r="D82" s="129"/>
      <c r="E82" s="130" t="s">
        <v>565</v>
      </c>
      <c r="F82" s="130" t="s">
        <v>352</v>
      </c>
      <c r="G82" s="130" t="s">
        <v>591</v>
      </c>
      <c r="H82" s="131">
        <v>45302</v>
      </c>
      <c r="I82" s="129"/>
      <c r="J82" s="135" t="s">
        <v>641</v>
      </c>
      <c r="K82" s="29">
        <v>60</v>
      </c>
      <c r="L82" s="136">
        <v>11.85</v>
      </c>
      <c r="M82" s="137">
        <v>20</v>
      </c>
      <c r="N82" s="98">
        <f t="shared" si="24"/>
        <v>8.15</v>
      </c>
      <c r="O82" s="99">
        <f t="shared" si="25"/>
        <v>0.4075</v>
      </c>
      <c r="P82" s="89">
        <f t="shared" si="26"/>
        <v>0.4</v>
      </c>
      <c r="Q82" s="113">
        <f t="shared" si="27"/>
        <v>24</v>
      </c>
      <c r="R82" s="58">
        <f t="shared" si="28"/>
        <v>0.02</v>
      </c>
      <c r="S82" s="114">
        <f t="shared" si="29"/>
        <v>0.3875</v>
      </c>
      <c r="T82" s="115">
        <f t="shared" si="30"/>
        <v>0.22</v>
      </c>
      <c r="U82" s="116">
        <v>0.06</v>
      </c>
      <c r="V82" s="117">
        <f t="shared" si="31"/>
        <v>0.18</v>
      </c>
      <c r="W82" s="117" t="str">
        <f t="shared" si="32"/>
        <v/>
      </c>
      <c r="X82" s="129"/>
      <c r="Y82" s="126">
        <f t="shared" si="33"/>
        <v>0.4075</v>
      </c>
      <c r="Z82" s="130">
        <v>5912638337</v>
      </c>
    </row>
    <row r="83" ht="24" spans="1:26">
      <c r="A83" s="129"/>
      <c r="B83" s="129"/>
      <c r="C83" s="90" t="s">
        <v>361</v>
      </c>
      <c r="D83" s="129"/>
      <c r="E83" s="130" t="s">
        <v>565</v>
      </c>
      <c r="F83" s="132" t="s">
        <v>352</v>
      </c>
      <c r="G83" s="132" t="s">
        <v>584</v>
      </c>
      <c r="H83" s="131">
        <v>45303</v>
      </c>
      <c r="I83" s="129"/>
      <c r="J83" s="40" t="s">
        <v>642</v>
      </c>
      <c r="K83" s="29">
        <v>6</v>
      </c>
      <c r="L83" s="136">
        <v>5189.73</v>
      </c>
      <c r="M83" s="137">
        <v>6664.09</v>
      </c>
      <c r="N83" s="98">
        <f t="shared" si="24"/>
        <v>1474.36</v>
      </c>
      <c r="O83" s="99">
        <f t="shared" si="25"/>
        <v>0.221239509070256</v>
      </c>
      <c r="P83" s="89">
        <f t="shared" si="26"/>
        <v>133.2818</v>
      </c>
      <c r="Q83" s="113">
        <f t="shared" si="27"/>
        <v>799.6908</v>
      </c>
      <c r="R83" s="58">
        <f t="shared" si="28"/>
        <v>0.02</v>
      </c>
      <c r="S83" s="114">
        <f t="shared" si="29"/>
        <v>0.201239509070256</v>
      </c>
      <c r="T83" s="115">
        <f t="shared" si="30"/>
        <v>0.22</v>
      </c>
      <c r="U83" s="116">
        <v>0.06</v>
      </c>
      <c r="V83" s="117">
        <f t="shared" si="31"/>
        <v>0.18</v>
      </c>
      <c r="W83" s="117" t="str">
        <f t="shared" si="32"/>
        <v/>
      </c>
      <c r="X83" s="129"/>
      <c r="Y83" s="126">
        <f t="shared" si="33"/>
        <v>0.221239509070256</v>
      </c>
      <c r="Z83" s="134">
        <v>5912651710</v>
      </c>
    </row>
    <row r="84" ht="24" spans="1:26">
      <c r="A84" s="129"/>
      <c r="B84" s="129"/>
      <c r="C84" s="90" t="s">
        <v>361</v>
      </c>
      <c r="D84" s="129"/>
      <c r="E84" s="130" t="s">
        <v>565</v>
      </c>
      <c r="F84" s="132" t="s">
        <v>352</v>
      </c>
      <c r="G84" s="130" t="s">
        <v>584</v>
      </c>
      <c r="H84" s="131">
        <v>45303</v>
      </c>
      <c r="I84" s="129"/>
      <c r="J84" s="40" t="s">
        <v>643</v>
      </c>
      <c r="K84" s="29">
        <v>4</v>
      </c>
      <c r="L84" s="136">
        <v>4515.93</v>
      </c>
      <c r="M84" s="137">
        <v>5798.86</v>
      </c>
      <c r="N84" s="98">
        <f t="shared" si="24"/>
        <v>1282.93</v>
      </c>
      <c r="O84" s="99">
        <f t="shared" si="25"/>
        <v>0.221238312357946</v>
      </c>
      <c r="P84" s="89">
        <f t="shared" si="26"/>
        <v>115.9772</v>
      </c>
      <c r="Q84" s="113">
        <f t="shared" si="27"/>
        <v>463.9088</v>
      </c>
      <c r="R84" s="58">
        <f t="shared" si="28"/>
        <v>0.02</v>
      </c>
      <c r="S84" s="114">
        <f t="shared" si="29"/>
        <v>0.201238312357946</v>
      </c>
      <c r="T84" s="115">
        <f t="shared" si="30"/>
        <v>0.22</v>
      </c>
      <c r="U84" s="116">
        <v>0.06</v>
      </c>
      <c r="V84" s="117">
        <f t="shared" si="31"/>
        <v>0.18</v>
      </c>
      <c r="W84" s="117" t="str">
        <f t="shared" si="32"/>
        <v/>
      </c>
      <c r="X84" s="129"/>
      <c r="Y84" s="126">
        <f t="shared" si="33"/>
        <v>0.221238312357946</v>
      </c>
      <c r="Z84" s="134">
        <v>5912651710</v>
      </c>
    </row>
    <row r="85" ht="24" spans="1:26">
      <c r="A85" s="129"/>
      <c r="B85" s="129"/>
      <c r="C85" s="90" t="s">
        <v>361</v>
      </c>
      <c r="D85" s="129"/>
      <c r="E85" s="130" t="s">
        <v>565</v>
      </c>
      <c r="F85" s="132" t="s">
        <v>352</v>
      </c>
      <c r="G85" s="132" t="s">
        <v>584</v>
      </c>
      <c r="H85" s="131">
        <v>45303</v>
      </c>
      <c r="I85" s="31"/>
      <c r="J85" s="40" t="s">
        <v>644</v>
      </c>
      <c r="K85" s="29">
        <v>5</v>
      </c>
      <c r="L85" s="43">
        <v>465.49</v>
      </c>
      <c r="M85" s="137">
        <v>598.3</v>
      </c>
      <c r="N85" s="41">
        <f t="shared" si="24"/>
        <v>132.81</v>
      </c>
      <c r="O85" s="139">
        <f t="shared" si="25"/>
        <v>0.221978940330938</v>
      </c>
      <c r="P85" s="28">
        <f t="shared" si="26"/>
        <v>11.966</v>
      </c>
      <c r="Q85" s="57">
        <f t="shared" si="27"/>
        <v>59.83</v>
      </c>
      <c r="R85" s="58">
        <f t="shared" si="28"/>
        <v>0.02</v>
      </c>
      <c r="S85" s="59">
        <f t="shared" si="29"/>
        <v>0.201978940330938</v>
      </c>
      <c r="T85" s="60">
        <f t="shared" si="30"/>
        <v>0.22</v>
      </c>
      <c r="U85" s="61">
        <v>0.06</v>
      </c>
      <c r="V85" s="62">
        <f t="shared" si="31"/>
        <v>0.18</v>
      </c>
      <c r="W85" s="62" t="str">
        <f t="shared" si="32"/>
        <v/>
      </c>
      <c r="X85" s="31"/>
      <c r="Y85" s="68">
        <f t="shared" si="33"/>
        <v>0.221978940330938</v>
      </c>
      <c r="Z85" s="134">
        <v>5912651710</v>
      </c>
    </row>
    <row r="86" ht="24" spans="1:26">
      <c r="A86" s="129"/>
      <c r="B86" s="129"/>
      <c r="C86" s="90" t="s">
        <v>361</v>
      </c>
      <c r="D86" s="129"/>
      <c r="E86" s="130" t="s">
        <v>565</v>
      </c>
      <c r="F86" s="132" t="s">
        <v>352</v>
      </c>
      <c r="G86" s="132" t="s">
        <v>584</v>
      </c>
      <c r="H86" s="131">
        <v>45303</v>
      </c>
      <c r="I86" s="129"/>
      <c r="J86" s="40" t="s">
        <v>645</v>
      </c>
      <c r="K86" s="29">
        <v>5</v>
      </c>
      <c r="L86" s="136">
        <v>232.25</v>
      </c>
      <c r="M86" s="137">
        <v>298.23</v>
      </c>
      <c r="N86" s="98">
        <f t="shared" si="24"/>
        <v>65.98</v>
      </c>
      <c r="O86" s="99">
        <f t="shared" si="25"/>
        <v>0.221238641317104</v>
      </c>
      <c r="P86" s="89">
        <f t="shared" si="26"/>
        <v>5.9646</v>
      </c>
      <c r="Q86" s="113">
        <f t="shared" si="27"/>
        <v>29.823</v>
      </c>
      <c r="R86" s="58">
        <f t="shared" si="28"/>
        <v>0.02</v>
      </c>
      <c r="S86" s="114">
        <f t="shared" si="29"/>
        <v>0.201238641317104</v>
      </c>
      <c r="T86" s="115">
        <f t="shared" si="30"/>
        <v>0.22</v>
      </c>
      <c r="U86" s="116">
        <v>0.06</v>
      </c>
      <c r="V86" s="117">
        <f t="shared" si="31"/>
        <v>0.18</v>
      </c>
      <c r="W86" s="117" t="str">
        <f t="shared" si="32"/>
        <v/>
      </c>
      <c r="X86" s="129"/>
      <c r="Y86" s="126">
        <f t="shared" si="33"/>
        <v>0.221238641317104</v>
      </c>
      <c r="Z86" s="134">
        <v>5912651710</v>
      </c>
    </row>
    <row r="87" ht="24" hidden="1" spans="1:26">
      <c r="A87" s="129"/>
      <c r="B87" s="129"/>
      <c r="C87" s="90" t="s">
        <v>361</v>
      </c>
      <c r="D87" s="129"/>
      <c r="E87" s="130" t="s">
        <v>565</v>
      </c>
      <c r="F87" s="132" t="s">
        <v>352</v>
      </c>
      <c r="G87" s="132" t="s">
        <v>584</v>
      </c>
      <c r="H87" s="133">
        <v>45303</v>
      </c>
      <c r="I87" s="140"/>
      <c r="J87" s="141" t="s">
        <v>646</v>
      </c>
      <c r="K87" s="142">
        <v>8</v>
      </c>
      <c r="L87" s="143"/>
      <c r="M87" s="144">
        <v>4142.05</v>
      </c>
      <c r="N87" s="145">
        <f t="shared" si="24"/>
        <v>4142.05</v>
      </c>
      <c r="O87" s="146">
        <f t="shared" si="25"/>
        <v>1</v>
      </c>
      <c r="P87" s="147">
        <f t="shared" si="26"/>
        <v>82.841</v>
      </c>
      <c r="Q87" s="149">
        <f t="shared" si="27"/>
        <v>662.728</v>
      </c>
      <c r="R87" s="150">
        <f t="shared" si="28"/>
        <v>0.02</v>
      </c>
      <c r="S87" s="151">
        <f t="shared" si="29"/>
        <v>0.98</v>
      </c>
      <c r="T87" s="152">
        <f t="shared" si="30"/>
        <v>0.22</v>
      </c>
      <c r="U87" s="153">
        <v>0.06</v>
      </c>
      <c r="V87" s="154">
        <f t="shared" si="31"/>
        <v>0.18</v>
      </c>
      <c r="W87" s="154" t="str">
        <f t="shared" si="32"/>
        <v/>
      </c>
      <c r="X87" s="140"/>
      <c r="Y87" s="155">
        <f t="shared" si="33"/>
        <v>1</v>
      </c>
      <c r="Z87" s="156">
        <v>5912651710</v>
      </c>
    </row>
    <row r="88" ht="24" hidden="1" spans="1:26">
      <c r="A88" s="129"/>
      <c r="B88" s="129"/>
      <c r="C88" s="90" t="s">
        <v>361</v>
      </c>
      <c r="D88" s="129"/>
      <c r="E88" s="130" t="s">
        <v>565</v>
      </c>
      <c r="F88" s="132" t="s">
        <v>352</v>
      </c>
      <c r="G88" s="29" t="s">
        <v>584</v>
      </c>
      <c r="H88" s="133">
        <v>45303</v>
      </c>
      <c r="I88" s="140"/>
      <c r="J88" s="141" t="s">
        <v>646</v>
      </c>
      <c r="K88" s="142">
        <v>2</v>
      </c>
      <c r="L88" s="143"/>
      <c r="M88" s="144">
        <v>5338.64</v>
      </c>
      <c r="N88" s="145">
        <f t="shared" si="24"/>
        <v>5338.64</v>
      </c>
      <c r="O88" s="146">
        <f t="shared" si="25"/>
        <v>1</v>
      </c>
      <c r="P88" s="147">
        <f t="shared" si="26"/>
        <v>106.7728</v>
      </c>
      <c r="Q88" s="149">
        <f t="shared" si="27"/>
        <v>213.5456</v>
      </c>
      <c r="R88" s="150">
        <f t="shared" si="28"/>
        <v>0.02</v>
      </c>
      <c r="S88" s="151">
        <f t="shared" si="29"/>
        <v>0.98</v>
      </c>
      <c r="T88" s="152">
        <f t="shared" si="30"/>
        <v>0.22</v>
      </c>
      <c r="U88" s="153">
        <v>0.06</v>
      </c>
      <c r="V88" s="154">
        <f t="shared" si="31"/>
        <v>0.18</v>
      </c>
      <c r="W88" s="154" t="str">
        <f t="shared" si="32"/>
        <v/>
      </c>
      <c r="X88" s="140"/>
      <c r="Y88" s="155">
        <f t="shared" si="33"/>
        <v>1</v>
      </c>
      <c r="Z88" s="156">
        <v>5912651710</v>
      </c>
    </row>
    <row r="89" ht="24" spans="1:26">
      <c r="A89" s="129"/>
      <c r="B89" s="129"/>
      <c r="C89" s="90" t="s">
        <v>361</v>
      </c>
      <c r="D89" s="129"/>
      <c r="E89" s="130" t="s">
        <v>565</v>
      </c>
      <c r="F89" s="132" t="s">
        <v>352</v>
      </c>
      <c r="G89" s="29" t="s">
        <v>584</v>
      </c>
      <c r="H89" s="131">
        <v>45303</v>
      </c>
      <c r="I89" s="129"/>
      <c r="J89" s="40" t="s">
        <v>647</v>
      </c>
      <c r="K89" s="29">
        <v>20</v>
      </c>
      <c r="L89" s="136">
        <v>383.45</v>
      </c>
      <c r="M89" s="137">
        <v>492.3901</v>
      </c>
      <c r="N89" s="98">
        <f t="shared" si="24"/>
        <v>108.9401</v>
      </c>
      <c r="O89" s="99">
        <f t="shared" si="25"/>
        <v>0.221247543360437</v>
      </c>
      <c r="P89" s="89">
        <f t="shared" si="26"/>
        <v>9.847802</v>
      </c>
      <c r="Q89" s="113">
        <f t="shared" si="27"/>
        <v>196.95604</v>
      </c>
      <c r="R89" s="58">
        <f t="shared" si="28"/>
        <v>0.02</v>
      </c>
      <c r="S89" s="114">
        <f t="shared" si="29"/>
        <v>0.201247543360437</v>
      </c>
      <c r="T89" s="115">
        <f t="shared" si="30"/>
        <v>0.22</v>
      </c>
      <c r="U89" s="116">
        <v>0.06</v>
      </c>
      <c r="V89" s="117">
        <f t="shared" si="31"/>
        <v>0.18</v>
      </c>
      <c r="W89" s="117" t="str">
        <f t="shared" si="32"/>
        <v/>
      </c>
      <c r="X89" s="129"/>
      <c r="Y89" s="126">
        <f t="shared" si="33"/>
        <v>0.221247543360437</v>
      </c>
      <c r="Z89" s="134">
        <v>5912651710</v>
      </c>
    </row>
    <row r="90" ht="24" spans="1:26">
      <c r="A90" s="129"/>
      <c r="B90" s="129"/>
      <c r="C90" s="90" t="s">
        <v>361</v>
      </c>
      <c r="D90" s="129"/>
      <c r="E90" s="130" t="s">
        <v>565</v>
      </c>
      <c r="F90" s="132" t="s">
        <v>648</v>
      </c>
      <c r="G90" s="134" t="s">
        <v>584</v>
      </c>
      <c r="H90" s="131">
        <v>45303</v>
      </c>
      <c r="I90" s="129"/>
      <c r="J90" s="40" t="s">
        <v>649</v>
      </c>
      <c r="K90" s="29">
        <v>320</v>
      </c>
      <c r="L90" s="136">
        <v>24.73</v>
      </c>
      <c r="M90" s="137">
        <v>31.76</v>
      </c>
      <c r="N90" s="98">
        <f t="shared" si="24"/>
        <v>7.03</v>
      </c>
      <c r="O90" s="99">
        <f t="shared" si="25"/>
        <v>0.221347607052897</v>
      </c>
      <c r="P90" s="89">
        <f t="shared" si="26"/>
        <v>0.6352</v>
      </c>
      <c r="Q90" s="113">
        <f t="shared" si="27"/>
        <v>203.264</v>
      </c>
      <c r="R90" s="58">
        <f t="shared" si="28"/>
        <v>0.02</v>
      </c>
      <c r="S90" s="114">
        <f t="shared" si="29"/>
        <v>0.201347607052897</v>
      </c>
      <c r="T90" s="115">
        <f t="shared" si="30"/>
        <v>0.22</v>
      </c>
      <c r="U90" s="116">
        <v>0.06</v>
      </c>
      <c r="V90" s="117">
        <f t="shared" si="31"/>
        <v>0.18</v>
      </c>
      <c r="W90" s="117" t="str">
        <f t="shared" si="32"/>
        <v/>
      </c>
      <c r="X90" s="129"/>
      <c r="Y90" s="126">
        <f t="shared" si="33"/>
        <v>0.221347607052897</v>
      </c>
      <c r="Z90" s="134">
        <v>5912653618</v>
      </c>
    </row>
    <row r="91" ht="24" spans="1:26">
      <c r="A91" s="129"/>
      <c r="B91" s="129"/>
      <c r="C91" s="90" t="s">
        <v>361</v>
      </c>
      <c r="D91" s="129"/>
      <c r="E91" s="130" t="s">
        <v>565</v>
      </c>
      <c r="F91" s="132" t="s">
        <v>648</v>
      </c>
      <c r="G91" s="29" t="s">
        <v>584</v>
      </c>
      <c r="H91" s="131">
        <v>45303</v>
      </c>
      <c r="I91" s="129"/>
      <c r="J91" s="40" t="s">
        <v>650</v>
      </c>
      <c r="K91" s="29">
        <v>50</v>
      </c>
      <c r="L91" s="136">
        <v>27.24</v>
      </c>
      <c r="M91" s="137">
        <v>34.98</v>
      </c>
      <c r="N91" s="98">
        <f t="shared" si="24"/>
        <v>7.74</v>
      </c>
      <c r="O91" s="99">
        <f t="shared" si="25"/>
        <v>0.221269296740995</v>
      </c>
      <c r="P91" s="89">
        <f t="shared" si="26"/>
        <v>0.6996</v>
      </c>
      <c r="Q91" s="113">
        <f t="shared" si="27"/>
        <v>34.98</v>
      </c>
      <c r="R91" s="58">
        <f t="shared" si="28"/>
        <v>0.02</v>
      </c>
      <c r="S91" s="114">
        <f t="shared" si="29"/>
        <v>0.201269296740995</v>
      </c>
      <c r="T91" s="115">
        <f t="shared" si="30"/>
        <v>0.22</v>
      </c>
      <c r="U91" s="116">
        <v>0.06</v>
      </c>
      <c r="V91" s="117">
        <f t="shared" si="31"/>
        <v>0.18</v>
      </c>
      <c r="W91" s="117" t="str">
        <f t="shared" si="32"/>
        <v/>
      </c>
      <c r="X91" s="129"/>
      <c r="Y91" s="126">
        <f t="shared" si="33"/>
        <v>0.221269296740995</v>
      </c>
      <c r="Z91" s="134">
        <v>5912653618</v>
      </c>
    </row>
    <row r="92" ht="24" spans="1:26">
      <c r="A92" s="129"/>
      <c r="B92" s="129"/>
      <c r="C92" s="90" t="s">
        <v>361</v>
      </c>
      <c r="D92" s="129"/>
      <c r="E92" s="130" t="s">
        <v>565</v>
      </c>
      <c r="F92" s="132" t="s">
        <v>648</v>
      </c>
      <c r="G92" s="134" t="s">
        <v>584</v>
      </c>
      <c r="H92" s="131">
        <v>45303</v>
      </c>
      <c r="I92" s="129"/>
      <c r="J92" s="40" t="s">
        <v>651</v>
      </c>
      <c r="K92" s="29">
        <v>12</v>
      </c>
      <c r="L92" s="136">
        <v>39.42</v>
      </c>
      <c r="M92" s="137">
        <v>50.63</v>
      </c>
      <c r="N92" s="98">
        <f t="shared" si="24"/>
        <v>11.21</v>
      </c>
      <c r="O92" s="99">
        <f t="shared" si="25"/>
        <v>0.221410231088288</v>
      </c>
      <c r="P92" s="89">
        <f t="shared" si="26"/>
        <v>1.0126</v>
      </c>
      <c r="Q92" s="113">
        <f t="shared" si="27"/>
        <v>12.1512</v>
      </c>
      <c r="R92" s="58">
        <f t="shared" si="28"/>
        <v>0.02</v>
      </c>
      <c r="S92" s="114">
        <f t="shared" si="29"/>
        <v>0.201410231088288</v>
      </c>
      <c r="T92" s="115">
        <f t="shared" si="30"/>
        <v>0.22</v>
      </c>
      <c r="U92" s="116">
        <v>0.06</v>
      </c>
      <c r="V92" s="117">
        <f t="shared" si="31"/>
        <v>0.18</v>
      </c>
      <c r="W92" s="117" t="str">
        <f t="shared" si="32"/>
        <v/>
      </c>
      <c r="X92" s="129"/>
      <c r="Y92" s="126">
        <f t="shared" si="33"/>
        <v>0.221410231088288</v>
      </c>
      <c r="Z92" s="134">
        <v>5912653618</v>
      </c>
    </row>
    <row r="93" ht="24" spans="1:26">
      <c r="A93" s="129"/>
      <c r="B93" s="129"/>
      <c r="C93" s="90" t="s">
        <v>361</v>
      </c>
      <c r="D93" s="129"/>
      <c r="E93" s="130" t="s">
        <v>565</v>
      </c>
      <c r="F93" s="132" t="s">
        <v>648</v>
      </c>
      <c r="G93" s="29" t="s">
        <v>584</v>
      </c>
      <c r="H93" s="131">
        <v>45303</v>
      </c>
      <c r="I93" s="129"/>
      <c r="J93" s="40" t="s">
        <v>652</v>
      </c>
      <c r="K93" s="29">
        <v>112</v>
      </c>
      <c r="L93" s="136">
        <v>58.21</v>
      </c>
      <c r="M93" s="137">
        <v>74.75</v>
      </c>
      <c r="N93" s="98">
        <f t="shared" si="24"/>
        <v>16.54</v>
      </c>
      <c r="O93" s="99">
        <f t="shared" si="25"/>
        <v>0.221270903010033</v>
      </c>
      <c r="P93" s="89">
        <f t="shared" si="26"/>
        <v>1.495</v>
      </c>
      <c r="Q93" s="113">
        <f t="shared" si="27"/>
        <v>167.44</v>
      </c>
      <c r="R93" s="58">
        <f t="shared" si="28"/>
        <v>0.02</v>
      </c>
      <c r="S93" s="114">
        <f t="shared" si="29"/>
        <v>0.201270903010033</v>
      </c>
      <c r="T93" s="115">
        <f t="shared" si="30"/>
        <v>0.22</v>
      </c>
      <c r="U93" s="116">
        <v>0.06</v>
      </c>
      <c r="V93" s="117">
        <f t="shared" si="31"/>
        <v>0.18</v>
      </c>
      <c r="W93" s="117" t="str">
        <f t="shared" si="32"/>
        <v/>
      </c>
      <c r="X93" s="129"/>
      <c r="Y93" s="126">
        <f t="shared" si="33"/>
        <v>0.221270903010033</v>
      </c>
      <c r="Z93" s="134">
        <v>5912653618</v>
      </c>
    </row>
    <row r="94" ht="24" spans="1:26">
      <c r="A94" s="129"/>
      <c r="B94" s="129"/>
      <c r="C94" s="90" t="s">
        <v>361</v>
      </c>
      <c r="D94" s="129"/>
      <c r="E94" s="130" t="s">
        <v>565</v>
      </c>
      <c r="F94" s="132" t="s">
        <v>648</v>
      </c>
      <c r="G94" s="134" t="s">
        <v>584</v>
      </c>
      <c r="H94" s="131">
        <v>45303</v>
      </c>
      <c r="I94" s="129"/>
      <c r="J94" s="40" t="s">
        <v>653</v>
      </c>
      <c r="K94" s="148">
        <v>1370</v>
      </c>
      <c r="L94" s="136">
        <v>25.81</v>
      </c>
      <c r="M94" s="137">
        <v>33.14</v>
      </c>
      <c r="N94" s="98">
        <f t="shared" si="24"/>
        <v>7.33</v>
      </c>
      <c r="O94" s="99">
        <f t="shared" si="25"/>
        <v>0.22118286059143</v>
      </c>
      <c r="P94" s="89">
        <f t="shared" si="26"/>
        <v>0.6628</v>
      </c>
      <c r="Q94" s="113">
        <f t="shared" si="27"/>
        <v>908.036</v>
      </c>
      <c r="R94" s="58">
        <f t="shared" si="28"/>
        <v>0.02</v>
      </c>
      <c r="S94" s="114">
        <f t="shared" si="29"/>
        <v>0.20118286059143</v>
      </c>
      <c r="T94" s="115">
        <f t="shared" si="30"/>
        <v>0.22</v>
      </c>
      <c r="U94" s="116">
        <v>0.06</v>
      </c>
      <c r="V94" s="117">
        <f t="shared" si="31"/>
        <v>0.18</v>
      </c>
      <c r="W94" s="117" t="str">
        <f t="shared" si="32"/>
        <v/>
      </c>
      <c r="X94" s="129"/>
      <c r="Y94" s="126">
        <f t="shared" si="33"/>
        <v>0.22118286059143</v>
      </c>
      <c r="Z94" s="134">
        <v>5912653618</v>
      </c>
    </row>
    <row r="95" ht="24" spans="1:26">
      <c r="A95" s="129"/>
      <c r="B95" s="129"/>
      <c r="C95" s="90" t="s">
        <v>361</v>
      </c>
      <c r="D95" s="129"/>
      <c r="E95" s="130" t="s">
        <v>565</v>
      </c>
      <c r="F95" s="130" t="s">
        <v>352</v>
      </c>
      <c r="G95" s="29" t="s">
        <v>601</v>
      </c>
      <c r="H95" s="131">
        <v>45303</v>
      </c>
      <c r="I95" s="129"/>
      <c r="J95" s="40" t="s">
        <v>654</v>
      </c>
      <c r="K95" s="148">
        <v>2</v>
      </c>
      <c r="L95" s="136">
        <v>15132.74</v>
      </c>
      <c r="M95" s="137">
        <v>18549</v>
      </c>
      <c r="N95" s="98">
        <f t="shared" si="24"/>
        <v>3416.26</v>
      </c>
      <c r="O95" s="99">
        <f t="shared" si="25"/>
        <v>0.184174888134131</v>
      </c>
      <c r="P95" s="89">
        <f t="shared" si="26"/>
        <v>370.98</v>
      </c>
      <c r="Q95" s="113">
        <f t="shared" si="27"/>
        <v>741.96</v>
      </c>
      <c r="R95" s="58">
        <f t="shared" si="28"/>
        <v>0.02</v>
      </c>
      <c r="S95" s="114">
        <f t="shared" si="29"/>
        <v>0.164174888134131</v>
      </c>
      <c r="T95" s="115">
        <f t="shared" si="30"/>
        <v>0.22</v>
      </c>
      <c r="U95" s="116">
        <v>0.06</v>
      </c>
      <c r="V95" s="117">
        <f t="shared" si="31"/>
        <v>0.18</v>
      </c>
      <c r="W95" s="117">
        <f t="shared" si="32"/>
        <v>-0.0158251118658688</v>
      </c>
      <c r="X95" s="129"/>
      <c r="Y95" s="126">
        <f t="shared" si="33"/>
        <v>0.184174888134131</v>
      </c>
      <c r="Z95" s="134">
        <v>5912651734</v>
      </c>
    </row>
    <row r="96" ht="24" spans="1:26">
      <c r="A96" s="129"/>
      <c r="B96" s="129"/>
      <c r="C96" s="90" t="s">
        <v>361</v>
      </c>
      <c r="D96" s="129"/>
      <c r="E96" s="130" t="s">
        <v>565</v>
      </c>
      <c r="F96" s="132" t="s">
        <v>352</v>
      </c>
      <c r="G96" s="29" t="s">
        <v>601</v>
      </c>
      <c r="H96" s="131">
        <v>45303</v>
      </c>
      <c r="I96" s="129"/>
      <c r="J96" s="40" t="s">
        <v>655</v>
      </c>
      <c r="K96" s="29">
        <v>2</v>
      </c>
      <c r="L96" s="136">
        <v>13741.59</v>
      </c>
      <c r="M96" s="137">
        <v>16845</v>
      </c>
      <c r="N96" s="98">
        <f t="shared" si="24"/>
        <v>3103.41</v>
      </c>
      <c r="O96" s="99">
        <f t="shared" si="25"/>
        <v>0.184233303650935</v>
      </c>
      <c r="P96" s="89">
        <f t="shared" si="26"/>
        <v>336.9</v>
      </c>
      <c r="Q96" s="113">
        <f t="shared" si="27"/>
        <v>673.8</v>
      </c>
      <c r="R96" s="58">
        <f t="shared" si="28"/>
        <v>0.02</v>
      </c>
      <c r="S96" s="114">
        <f t="shared" si="29"/>
        <v>0.164233303650935</v>
      </c>
      <c r="T96" s="115">
        <f t="shared" si="30"/>
        <v>0.22</v>
      </c>
      <c r="U96" s="116">
        <v>0.06</v>
      </c>
      <c r="V96" s="117">
        <f t="shared" si="31"/>
        <v>0.18</v>
      </c>
      <c r="W96" s="117">
        <f t="shared" si="32"/>
        <v>-0.015766696349065</v>
      </c>
      <c r="X96" s="129"/>
      <c r="Y96" s="126">
        <f t="shared" si="33"/>
        <v>0.184233303650935</v>
      </c>
      <c r="Z96" s="134">
        <v>5912651734</v>
      </c>
    </row>
    <row r="97" ht="24" spans="1:26">
      <c r="A97" s="129"/>
      <c r="B97" s="129"/>
      <c r="C97" s="90" t="s">
        <v>361</v>
      </c>
      <c r="D97" s="129"/>
      <c r="E97" s="130" t="s">
        <v>565</v>
      </c>
      <c r="F97" s="130" t="s">
        <v>352</v>
      </c>
      <c r="G97" s="130" t="s">
        <v>570</v>
      </c>
      <c r="H97" s="131">
        <v>45306</v>
      </c>
      <c r="I97" s="129"/>
      <c r="J97" s="135" t="s">
        <v>656</v>
      </c>
      <c r="K97" s="29">
        <v>1</v>
      </c>
      <c r="L97" s="136">
        <v>3407.07</v>
      </c>
      <c r="M97" s="137">
        <v>4450</v>
      </c>
      <c r="N97" s="98">
        <f t="shared" si="24"/>
        <v>1042.93</v>
      </c>
      <c r="O97" s="99">
        <f t="shared" si="25"/>
        <v>0.234366292134831</v>
      </c>
      <c r="P97" s="89">
        <f t="shared" si="26"/>
        <v>89</v>
      </c>
      <c r="Q97" s="113">
        <f t="shared" si="27"/>
        <v>89</v>
      </c>
      <c r="R97" s="58">
        <f t="shared" si="28"/>
        <v>0.02</v>
      </c>
      <c r="S97" s="114">
        <f t="shared" si="29"/>
        <v>0.214366292134831</v>
      </c>
      <c r="T97" s="115">
        <f t="shared" si="30"/>
        <v>0.22</v>
      </c>
      <c r="U97" s="116">
        <v>0.06</v>
      </c>
      <c r="V97" s="117">
        <f t="shared" si="31"/>
        <v>0.18</v>
      </c>
      <c r="W97" s="117" t="str">
        <f t="shared" si="32"/>
        <v/>
      </c>
      <c r="X97" s="129"/>
      <c r="Y97" s="126">
        <f t="shared" si="33"/>
        <v>0.234366292134831</v>
      </c>
      <c r="Z97" s="130">
        <v>5912672818</v>
      </c>
    </row>
    <row r="98" ht="24" spans="1:26">
      <c r="A98" s="129"/>
      <c r="B98" s="129"/>
      <c r="C98" s="90" t="s">
        <v>361</v>
      </c>
      <c r="D98" s="129"/>
      <c r="E98" s="130" t="s">
        <v>565</v>
      </c>
      <c r="F98" s="130" t="s">
        <v>352</v>
      </c>
      <c r="G98" s="130" t="s">
        <v>570</v>
      </c>
      <c r="H98" s="131">
        <v>45306</v>
      </c>
      <c r="I98" s="129"/>
      <c r="J98" s="135" t="s">
        <v>599</v>
      </c>
      <c r="K98" s="29">
        <v>1</v>
      </c>
      <c r="L98" s="136">
        <v>2835.14</v>
      </c>
      <c r="M98" s="137">
        <v>4716</v>
      </c>
      <c r="N98" s="98">
        <f t="shared" si="24"/>
        <v>1880.86</v>
      </c>
      <c r="O98" s="99">
        <f t="shared" si="25"/>
        <v>0.398825275657337</v>
      </c>
      <c r="P98" s="89">
        <f t="shared" si="26"/>
        <v>94.32</v>
      </c>
      <c r="Q98" s="113">
        <f t="shared" si="27"/>
        <v>94.32</v>
      </c>
      <c r="R98" s="58">
        <f t="shared" si="28"/>
        <v>0.02</v>
      </c>
      <c r="S98" s="114">
        <f t="shared" si="29"/>
        <v>0.378825275657337</v>
      </c>
      <c r="T98" s="115">
        <f t="shared" si="30"/>
        <v>0.22</v>
      </c>
      <c r="U98" s="116">
        <v>0.06</v>
      </c>
      <c r="V98" s="117">
        <f t="shared" si="31"/>
        <v>0.18</v>
      </c>
      <c r="W98" s="117" t="str">
        <f t="shared" si="32"/>
        <v/>
      </c>
      <c r="X98" s="129"/>
      <c r="Y98" s="126">
        <f t="shared" si="33"/>
        <v>0.398825275657337</v>
      </c>
      <c r="Z98" s="130">
        <v>5912672818</v>
      </c>
    </row>
    <row r="99" ht="24" spans="1:26">
      <c r="A99" s="129"/>
      <c r="B99" s="129"/>
      <c r="C99" s="90" t="s">
        <v>361</v>
      </c>
      <c r="D99" s="129"/>
      <c r="E99" s="130" t="s">
        <v>565</v>
      </c>
      <c r="F99" s="130" t="s">
        <v>352</v>
      </c>
      <c r="G99" s="130" t="s">
        <v>570</v>
      </c>
      <c r="H99" s="131">
        <v>45306</v>
      </c>
      <c r="I99" s="129"/>
      <c r="J99" s="135" t="s">
        <v>657</v>
      </c>
      <c r="K99" s="29">
        <v>1</v>
      </c>
      <c r="L99" s="136">
        <v>3026.01</v>
      </c>
      <c r="M99" s="137">
        <v>3612</v>
      </c>
      <c r="N99" s="98">
        <f t="shared" si="24"/>
        <v>585.99</v>
      </c>
      <c r="O99" s="99">
        <f t="shared" si="25"/>
        <v>0.162234219269103</v>
      </c>
      <c r="P99" s="89">
        <f t="shared" si="26"/>
        <v>72.24</v>
      </c>
      <c r="Q99" s="113">
        <f t="shared" si="27"/>
        <v>72.24</v>
      </c>
      <c r="R99" s="58">
        <f t="shared" si="28"/>
        <v>0.02</v>
      </c>
      <c r="S99" s="114">
        <f t="shared" si="29"/>
        <v>0.142234219269103</v>
      </c>
      <c r="T99" s="115">
        <f t="shared" si="30"/>
        <v>0.22</v>
      </c>
      <c r="U99" s="116">
        <v>0.06</v>
      </c>
      <c r="V99" s="117">
        <f t="shared" si="31"/>
        <v>0.18</v>
      </c>
      <c r="W99" s="117">
        <f t="shared" si="32"/>
        <v>-0.0377657807308971</v>
      </c>
      <c r="X99" s="129"/>
      <c r="Y99" s="126">
        <f t="shared" si="33"/>
        <v>0.162234219269103</v>
      </c>
      <c r="Z99" s="130">
        <v>5912672818</v>
      </c>
    </row>
    <row r="100" ht="24" spans="1:26">
      <c r="A100" s="129"/>
      <c r="B100" s="129"/>
      <c r="C100" s="90" t="s">
        <v>361</v>
      </c>
      <c r="D100" s="129"/>
      <c r="E100" s="130" t="s">
        <v>565</v>
      </c>
      <c r="F100" s="132" t="s">
        <v>352</v>
      </c>
      <c r="G100" s="130" t="s">
        <v>658</v>
      </c>
      <c r="H100" s="131">
        <v>45308</v>
      </c>
      <c r="I100" s="129"/>
      <c r="J100" s="135" t="s">
        <v>659</v>
      </c>
      <c r="K100" s="29">
        <v>2</v>
      </c>
      <c r="L100" s="136">
        <v>1327.43</v>
      </c>
      <c r="M100" s="137">
        <v>1715</v>
      </c>
      <c r="N100" s="98">
        <f t="shared" si="24"/>
        <v>387.57</v>
      </c>
      <c r="O100" s="99">
        <f t="shared" si="25"/>
        <v>0.22598833819242</v>
      </c>
      <c r="P100" s="89">
        <f t="shared" si="26"/>
        <v>34.3</v>
      </c>
      <c r="Q100" s="113">
        <f t="shared" si="27"/>
        <v>68.6</v>
      </c>
      <c r="R100" s="58">
        <f t="shared" si="28"/>
        <v>0.02</v>
      </c>
      <c r="S100" s="114">
        <f t="shared" si="29"/>
        <v>0.20598833819242</v>
      </c>
      <c r="T100" s="115">
        <f t="shared" si="30"/>
        <v>0.22</v>
      </c>
      <c r="U100" s="116">
        <v>0.06</v>
      </c>
      <c r="V100" s="117">
        <f t="shared" si="31"/>
        <v>0.18</v>
      </c>
      <c r="W100" s="117" t="str">
        <f t="shared" si="32"/>
        <v/>
      </c>
      <c r="X100" s="129"/>
      <c r="Y100" s="126">
        <f t="shared" si="33"/>
        <v>0.22598833819242</v>
      </c>
      <c r="Z100" s="130">
        <v>5912702728</v>
      </c>
    </row>
    <row r="101" ht="24" spans="1:26">
      <c r="A101" s="129"/>
      <c r="B101" s="129"/>
      <c r="C101" s="90" t="s">
        <v>361</v>
      </c>
      <c r="D101" s="129"/>
      <c r="E101" s="130" t="s">
        <v>565</v>
      </c>
      <c r="F101" s="132" t="s">
        <v>352</v>
      </c>
      <c r="G101" s="130" t="s">
        <v>658</v>
      </c>
      <c r="H101" s="131">
        <v>45308</v>
      </c>
      <c r="I101" s="129"/>
      <c r="J101" s="135" t="s">
        <v>660</v>
      </c>
      <c r="K101" s="29">
        <v>3</v>
      </c>
      <c r="L101" s="136">
        <v>263.72</v>
      </c>
      <c r="M101" s="137">
        <v>442</v>
      </c>
      <c r="N101" s="98">
        <f t="shared" si="24"/>
        <v>178.28</v>
      </c>
      <c r="O101" s="99">
        <f t="shared" si="25"/>
        <v>0.403348416289593</v>
      </c>
      <c r="P101" s="89">
        <f t="shared" si="26"/>
        <v>8.84</v>
      </c>
      <c r="Q101" s="113">
        <f t="shared" si="27"/>
        <v>26.52</v>
      </c>
      <c r="R101" s="58">
        <f t="shared" si="28"/>
        <v>0.02</v>
      </c>
      <c r="S101" s="114">
        <f t="shared" si="29"/>
        <v>0.383348416289593</v>
      </c>
      <c r="T101" s="115">
        <f t="shared" si="30"/>
        <v>0.22</v>
      </c>
      <c r="U101" s="116">
        <v>0.06</v>
      </c>
      <c r="V101" s="117">
        <f t="shared" si="31"/>
        <v>0.18</v>
      </c>
      <c r="W101" s="117" t="str">
        <f t="shared" si="32"/>
        <v/>
      </c>
      <c r="X101" s="129"/>
      <c r="Y101" s="126">
        <f t="shared" si="33"/>
        <v>0.403348416289593</v>
      </c>
      <c r="Z101" s="130">
        <v>5912702728</v>
      </c>
    </row>
    <row r="102" ht="24" spans="1:26">
      <c r="A102" s="129"/>
      <c r="B102" s="129"/>
      <c r="C102" s="90" t="s">
        <v>361</v>
      </c>
      <c r="D102" s="129"/>
      <c r="E102" s="130" t="s">
        <v>565</v>
      </c>
      <c r="F102" s="130" t="s">
        <v>648</v>
      </c>
      <c r="G102" s="130" t="s">
        <v>582</v>
      </c>
      <c r="H102" s="131">
        <v>45309</v>
      </c>
      <c r="I102" s="129"/>
      <c r="J102" s="135" t="s">
        <v>661</v>
      </c>
      <c r="K102" s="29">
        <v>10</v>
      </c>
      <c r="L102" s="136">
        <v>176.99</v>
      </c>
      <c r="M102" s="137">
        <v>221</v>
      </c>
      <c r="N102" s="98">
        <f t="shared" si="24"/>
        <v>44.01</v>
      </c>
      <c r="O102" s="99">
        <f t="shared" si="25"/>
        <v>0.199140271493213</v>
      </c>
      <c r="P102" s="89">
        <f t="shared" si="26"/>
        <v>4.42</v>
      </c>
      <c r="Q102" s="113">
        <f t="shared" si="27"/>
        <v>44.2</v>
      </c>
      <c r="R102" s="58">
        <f t="shared" si="28"/>
        <v>0.02</v>
      </c>
      <c r="S102" s="114">
        <f t="shared" si="29"/>
        <v>0.179140271493213</v>
      </c>
      <c r="T102" s="115">
        <f t="shared" si="30"/>
        <v>0.22</v>
      </c>
      <c r="U102" s="116">
        <v>0.06</v>
      </c>
      <c r="V102" s="117">
        <f t="shared" si="31"/>
        <v>0.18</v>
      </c>
      <c r="W102" s="117">
        <f t="shared" si="32"/>
        <v>-0.000859728506787366</v>
      </c>
      <c r="X102" s="129"/>
      <c r="Y102" s="126">
        <f t="shared" si="33"/>
        <v>0.199140271493213</v>
      </c>
      <c r="Z102" s="130">
        <v>5912709208</v>
      </c>
    </row>
    <row r="103" ht="24" spans="1:26">
      <c r="A103" s="129"/>
      <c r="B103" s="129"/>
      <c r="C103" s="90" t="s">
        <v>361</v>
      </c>
      <c r="D103" s="129"/>
      <c r="E103" s="130" t="s">
        <v>565</v>
      </c>
      <c r="F103" s="130" t="s">
        <v>352</v>
      </c>
      <c r="G103" s="130" t="s">
        <v>590</v>
      </c>
      <c r="H103" s="131">
        <v>45309</v>
      </c>
      <c r="I103" s="129"/>
      <c r="J103" s="135" t="s">
        <v>164</v>
      </c>
      <c r="K103" s="29">
        <v>20</v>
      </c>
      <c r="L103" s="136">
        <v>3688.18</v>
      </c>
      <c r="M103" s="137">
        <v>5025</v>
      </c>
      <c r="N103" s="98">
        <f t="shared" si="24"/>
        <v>1336.82</v>
      </c>
      <c r="O103" s="99">
        <f t="shared" si="25"/>
        <v>0.266033830845771</v>
      </c>
      <c r="P103" s="89">
        <f t="shared" si="26"/>
        <v>100.5</v>
      </c>
      <c r="Q103" s="113">
        <f t="shared" si="27"/>
        <v>2010</v>
      </c>
      <c r="R103" s="58">
        <f t="shared" si="28"/>
        <v>0.02</v>
      </c>
      <c r="S103" s="114">
        <f t="shared" si="29"/>
        <v>0.246033830845771</v>
      </c>
      <c r="T103" s="115">
        <f t="shared" si="30"/>
        <v>0.22</v>
      </c>
      <c r="U103" s="116">
        <v>0.06</v>
      </c>
      <c r="V103" s="117">
        <f t="shared" si="31"/>
        <v>0.18</v>
      </c>
      <c r="W103" s="117" t="str">
        <f t="shared" si="32"/>
        <v/>
      </c>
      <c r="X103" s="129"/>
      <c r="Y103" s="126">
        <f t="shared" si="33"/>
        <v>0.266033830845771</v>
      </c>
      <c r="Z103" s="130">
        <v>5912713508</v>
      </c>
    </row>
    <row r="104" ht="24" spans="1:26">
      <c r="A104" s="129"/>
      <c r="B104" s="129"/>
      <c r="C104" s="90" t="s">
        <v>361</v>
      </c>
      <c r="D104" s="129"/>
      <c r="E104" s="130" t="s">
        <v>565</v>
      </c>
      <c r="F104" s="130" t="s">
        <v>352</v>
      </c>
      <c r="G104" s="130" t="s">
        <v>612</v>
      </c>
      <c r="H104" s="131">
        <v>45312</v>
      </c>
      <c r="I104" s="129"/>
      <c r="J104" s="135" t="s">
        <v>662</v>
      </c>
      <c r="K104" s="29">
        <v>2</v>
      </c>
      <c r="L104" s="136">
        <v>1168</v>
      </c>
      <c r="M104" s="137">
        <v>1385</v>
      </c>
      <c r="N104" s="98">
        <f t="shared" si="24"/>
        <v>217</v>
      </c>
      <c r="O104" s="99">
        <f t="shared" si="25"/>
        <v>0.156678700361011</v>
      </c>
      <c r="P104" s="89">
        <f t="shared" si="26"/>
        <v>27.7</v>
      </c>
      <c r="Q104" s="113">
        <f t="shared" si="27"/>
        <v>55.4</v>
      </c>
      <c r="R104" s="58">
        <f t="shared" si="28"/>
        <v>0.02</v>
      </c>
      <c r="S104" s="114">
        <f t="shared" si="29"/>
        <v>0.136678700361011</v>
      </c>
      <c r="T104" s="115">
        <f t="shared" si="30"/>
        <v>0.22</v>
      </c>
      <c r="U104" s="116">
        <v>0.06</v>
      </c>
      <c r="V104" s="117">
        <f t="shared" si="31"/>
        <v>0.18</v>
      </c>
      <c r="W104" s="117">
        <f t="shared" si="32"/>
        <v>-0.0433212996389891</v>
      </c>
      <c r="X104" s="129"/>
      <c r="Y104" s="126">
        <f t="shared" si="33"/>
        <v>0.156678700361011</v>
      </c>
      <c r="Z104" s="130">
        <v>5912742424</v>
      </c>
    </row>
    <row r="105" ht="24" spans="1:26">
      <c r="A105" s="129"/>
      <c r="B105" s="129"/>
      <c r="C105" s="90" t="s">
        <v>361</v>
      </c>
      <c r="D105" s="129"/>
      <c r="E105" s="130" t="s">
        <v>565</v>
      </c>
      <c r="F105" s="130" t="s">
        <v>352</v>
      </c>
      <c r="G105" s="130" t="s">
        <v>570</v>
      </c>
      <c r="H105" s="131">
        <v>45311</v>
      </c>
      <c r="I105" s="129"/>
      <c r="J105" s="135" t="s">
        <v>599</v>
      </c>
      <c r="K105" s="29">
        <v>1</v>
      </c>
      <c r="L105" s="136">
        <v>3792.42</v>
      </c>
      <c r="M105" s="137">
        <v>4716</v>
      </c>
      <c r="N105" s="98">
        <f t="shared" si="24"/>
        <v>923.58</v>
      </c>
      <c r="O105" s="99">
        <f t="shared" si="25"/>
        <v>0.195839694656489</v>
      </c>
      <c r="P105" s="89">
        <f t="shared" si="26"/>
        <v>94.32</v>
      </c>
      <c r="Q105" s="113">
        <f t="shared" si="27"/>
        <v>94.32</v>
      </c>
      <c r="R105" s="58">
        <f t="shared" si="28"/>
        <v>0.02</v>
      </c>
      <c r="S105" s="114">
        <f t="shared" si="29"/>
        <v>0.175839694656489</v>
      </c>
      <c r="T105" s="115">
        <f t="shared" si="30"/>
        <v>0.22</v>
      </c>
      <c r="U105" s="116">
        <v>0.06</v>
      </c>
      <c r="V105" s="117">
        <f t="shared" si="31"/>
        <v>0.18</v>
      </c>
      <c r="W105" s="117">
        <f t="shared" si="32"/>
        <v>-0.00416030534351147</v>
      </c>
      <c r="X105" s="129"/>
      <c r="Y105" s="126">
        <f t="shared" si="33"/>
        <v>0.195839694656489</v>
      </c>
      <c r="Z105" s="130">
        <v>5912735383</v>
      </c>
    </row>
    <row r="106" ht="24" spans="1:26">
      <c r="A106" s="129"/>
      <c r="B106" s="129"/>
      <c r="C106" s="90" t="s">
        <v>361</v>
      </c>
      <c r="D106" s="129"/>
      <c r="E106" s="130" t="s">
        <v>565</v>
      </c>
      <c r="F106" s="130" t="s">
        <v>648</v>
      </c>
      <c r="G106" s="130" t="s">
        <v>558</v>
      </c>
      <c r="H106" s="131">
        <v>45311</v>
      </c>
      <c r="I106" s="129"/>
      <c r="J106" s="135" t="s">
        <v>663</v>
      </c>
      <c r="K106" s="29">
        <v>1</v>
      </c>
      <c r="L106" s="136">
        <v>380</v>
      </c>
      <c r="M106" s="137">
        <v>815</v>
      </c>
      <c r="N106" s="98">
        <f t="shared" si="24"/>
        <v>435</v>
      </c>
      <c r="O106" s="99">
        <f t="shared" si="25"/>
        <v>0.533742331288344</v>
      </c>
      <c r="P106" s="89">
        <f t="shared" si="26"/>
        <v>16.3</v>
      </c>
      <c r="Q106" s="113">
        <f t="shared" si="27"/>
        <v>16.3</v>
      </c>
      <c r="R106" s="58">
        <f t="shared" si="28"/>
        <v>0.02</v>
      </c>
      <c r="S106" s="114">
        <f t="shared" si="29"/>
        <v>0.513742331288344</v>
      </c>
      <c r="T106" s="115">
        <f t="shared" si="30"/>
        <v>0.22</v>
      </c>
      <c r="U106" s="116">
        <v>0.06</v>
      </c>
      <c r="V106" s="117">
        <f t="shared" si="31"/>
        <v>0.18</v>
      </c>
      <c r="W106" s="117" t="str">
        <f t="shared" si="32"/>
        <v/>
      </c>
      <c r="X106" s="129"/>
      <c r="Y106" s="126">
        <f t="shared" si="33"/>
        <v>0.533742331288344</v>
      </c>
      <c r="Z106" s="130">
        <v>5912738546</v>
      </c>
    </row>
    <row r="107" ht="24" spans="1:26">
      <c r="A107" s="129"/>
      <c r="B107" s="129"/>
      <c r="C107" s="90" t="s">
        <v>361</v>
      </c>
      <c r="D107" s="129"/>
      <c r="E107" s="130" t="s">
        <v>565</v>
      </c>
      <c r="F107" s="130" t="s">
        <v>648</v>
      </c>
      <c r="G107" s="130" t="s">
        <v>612</v>
      </c>
      <c r="H107" s="131">
        <v>45311</v>
      </c>
      <c r="I107" s="129"/>
      <c r="J107" s="135" t="s">
        <v>664</v>
      </c>
      <c r="K107" s="29">
        <v>5</v>
      </c>
      <c r="L107" s="136">
        <v>36.73</v>
      </c>
      <c r="M107" s="137">
        <v>95</v>
      </c>
      <c r="N107" s="98">
        <f t="shared" si="24"/>
        <v>58.27</v>
      </c>
      <c r="O107" s="99">
        <f t="shared" si="25"/>
        <v>0.613368421052632</v>
      </c>
      <c r="P107" s="89">
        <f t="shared" si="26"/>
        <v>1.9</v>
      </c>
      <c r="Q107" s="113">
        <f t="shared" si="27"/>
        <v>9.5</v>
      </c>
      <c r="R107" s="58">
        <f t="shared" si="28"/>
        <v>0.02</v>
      </c>
      <c r="S107" s="114">
        <f t="shared" si="29"/>
        <v>0.593368421052632</v>
      </c>
      <c r="T107" s="115">
        <f t="shared" si="30"/>
        <v>0.22</v>
      </c>
      <c r="U107" s="116">
        <v>0.06</v>
      </c>
      <c r="V107" s="117">
        <f t="shared" si="31"/>
        <v>0.18</v>
      </c>
      <c r="W107" s="117" t="str">
        <f t="shared" si="32"/>
        <v/>
      </c>
      <c r="X107" s="129"/>
      <c r="Y107" s="126">
        <f t="shared" si="33"/>
        <v>0.613368421052632</v>
      </c>
      <c r="Z107" s="130">
        <v>5912739579</v>
      </c>
    </row>
    <row r="108" ht="24" spans="1:26">
      <c r="A108" s="129"/>
      <c r="B108" s="129"/>
      <c r="C108" s="90" t="s">
        <v>361</v>
      </c>
      <c r="D108" s="129"/>
      <c r="E108" s="130" t="s">
        <v>565</v>
      </c>
      <c r="F108" s="130" t="s">
        <v>352</v>
      </c>
      <c r="G108" s="130" t="s">
        <v>595</v>
      </c>
      <c r="H108" s="131">
        <v>45310</v>
      </c>
      <c r="I108" s="129"/>
      <c r="J108" s="135" t="s">
        <v>615</v>
      </c>
      <c r="K108" s="29">
        <v>5</v>
      </c>
      <c r="L108" s="136">
        <v>1946.9</v>
      </c>
      <c r="M108" s="137">
        <v>2450</v>
      </c>
      <c r="N108" s="98">
        <f t="shared" si="24"/>
        <v>503.1</v>
      </c>
      <c r="O108" s="99">
        <f t="shared" si="25"/>
        <v>0.20534693877551</v>
      </c>
      <c r="P108" s="89">
        <f t="shared" si="26"/>
        <v>49</v>
      </c>
      <c r="Q108" s="113">
        <f t="shared" si="27"/>
        <v>245</v>
      </c>
      <c r="R108" s="58">
        <f t="shared" si="28"/>
        <v>0.02</v>
      </c>
      <c r="S108" s="114">
        <f t="shared" si="29"/>
        <v>0.18534693877551</v>
      </c>
      <c r="T108" s="115">
        <f t="shared" si="30"/>
        <v>0.22</v>
      </c>
      <c r="U108" s="116">
        <v>0.06</v>
      </c>
      <c r="V108" s="117">
        <f t="shared" si="31"/>
        <v>0.18</v>
      </c>
      <c r="W108" s="117" t="str">
        <f t="shared" si="32"/>
        <v/>
      </c>
      <c r="X108" s="129"/>
      <c r="Y108" s="126">
        <f t="shared" si="33"/>
        <v>0.20534693877551</v>
      </c>
      <c r="Z108" s="130">
        <v>5912726490</v>
      </c>
    </row>
    <row r="109" ht="24" spans="1:26">
      <c r="A109" s="129"/>
      <c r="B109" s="129"/>
      <c r="C109" s="90" t="s">
        <v>361</v>
      </c>
      <c r="D109" s="129"/>
      <c r="E109" s="130" t="s">
        <v>565</v>
      </c>
      <c r="F109" s="130" t="s">
        <v>352</v>
      </c>
      <c r="G109" s="130" t="s">
        <v>595</v>
      </c>
      <c r="H109" s="131">
        <v>45310</v>
      </c>
      <c r="I109" s="129"/>
      <c r="J109" s="135" t="s">
        <v>615</v>
      </c>
      <c r="K109" s="29">
        <v>5</v>
      </c>
      <c r="L109" s="136">
        <v>1946.9</v>
      </c>
      <c r="M109" s="137">
        <v>2450</v>
      </c>
      <c r="N109" s="98">
        <f t="shared" si="24"/>
        <v>503.1</v>
      </c>
      <c r="O109" s="99">
        <f t="shared" si="25"/>
        <v>0.20534693877551</v>
      </c>
      <c r="P109" s="89">
        <f t="shared" si="26"/>
        <v>49</v>
      </c>
      <c r="Q109" s="113">
        <f t="shared" si="27"/>
        <v>245</v>
      </c>
      <c r="R109" s="58">
        <f t="shared" si="28"/>
        <v>0.02</v>
      </c>
      <c r="S109" s="114">
        <f t="shared" si="29"/>
        <v>0.18534693877551</v>
      </c>
      <c r="T109" s="115">
        <f t="shared" si="30"/>
        <v>0.22</v>
      </c>
      <c r="U109" s="116">
        <v>0.06</v>
      </c>
      <c r="V109" s="117">
        <f t="shared" si="31"/>
        <v>0.18</v>
      </c>
      <c r="W109" s="117" t="str">
        <f t="shared" si="32"/>
        <v/>
      </c>
      <c r="X109" s="129"/>
      <c r="Y109" s="126">
        <f t="shared" si="33"/>
        <v>0.20534693877551</v>
      </c>
      <c r="Z109" s="130">
        <v>5912726490</v>
      </c>
    </row>
    <row r="110" ht="24" spans="1:26">
      <c r="A110" s="129"/>
      <c r="B110" s="129"/>
      <c r="C110" s="90" t="s">
        <v>361</v>
      </c>
      <c r="D110" s="129"/>
      <c r="E110" s="130" t="s">
        <v>565</v>
      </c>
      <c r="F110" s="130" t="s">
        <v>352</v>
      </c>
      <c r="G110" s="130" t="s">
        <v>621</v>
      </c>
      <c r="H110" s="131">
        <v>45310</v>
      </c>
      <c r="I110" s="129"/>
      <c r="J110" s="135" t="s">
        <v>615</v>
      </c>
      <c r="K110" s="29">
        <v>3</v>
      </c>
      <c r="L110" s="136">
        <v>1946.9</v>
      </c>
      <c r="M110" s="137">
        <v>2450</v>
      </c>
      <c r="N110" s="98">
        <f t="shared" si="24"/>
        <v>503.1</v>
      </c>
      <c r="O110" s="99">
        <f t="shared" si="25"/>
        <v>0.20534693877551</v>
      </c>
      <c r="P110" s="89">
        <f t="shared" si="26"/>
        <v>49</v>
      </c>
      <c r="Q110" s="113">
        <f t="shared" si="27"/>
        <v>147</v>
      </c>
      <c r="R110" s="58">
        <f t="shared" si="28"/>
        <v>0.02</v>
      </c>
      <c r="S110" s="114">
        <f t="shared" si="29"/>
        <v>0.18534693877551</v>
      </c>
      <c r="T110" s="115">
        <f t="shared" si="30"/>
        <v>0.22</v>
      </c>
      <c r="U110" s="116">
        <v>0.06</v>
      </c>
      <c r="V110" s="117">
        <f t="shared" si="31"/>
        <v>0.18</v>
      </c>
      <c r="W110" s="117" t="str">
        <f t="shared" si="32"/>
        <v/>
      </c>
      <c r="X110" s="129"/>
      <c r="Y110" s="126">
        <f t="shared" si="33"/>
        <v>0.20534693877551</v>
      </c>
      <c r="Z110" s="130">
        <v>5912726492</v>
      </c>
    </row>
    <row r="111" ht="24" spans="1:26">
      <c r="A111" s="129"/>
      <c r="B111" s="129"/>
      <c r="C111" s="90" t="s">
        <v>361</v>
      </c>
      <c r="D111" s="129"/>
      <c r="E111" s="130" t="s">
        <v>565</v>
      </c>
      <c r="F111" s="130" t="s">
        <v>352</v>
      </c>
      <c r="G111" s="130" t="s">
        <v>621</v>
      </c>
      <c r="H111" s="131">
        <v>45310</v>
      </c>
      <c r="I111" s="129"/>
      <c r="J111" s="135" t="s">
        <v>615</v>
      </c>
      <c r="K111" s="29">
        <v>7</v>
      </c>
      <c r="L111" s="136">
        <v>1946.9</v>
      </c>
      <c r="M111" s="137">
        <v>2450</v>
      </c>
      <c r="N111" s="98">
        <f t="shared" si="24"/>
        <v>503.1</v>
      </c>
      <c r="O111" s="99">
        <f t="shared" si="25"/>
        <v>0.20534693877551</v>
      </c>
      <c r="P111" s="89">
        <f t="shared" si="26"/>
        <v>49</v>
      </c>
      <c r="Q111" s="113">
        <f t="shared" si="27"/>
        <v>343</v>
      </c>
      <c r="R111" s="58">
        <f t="shared" si="28"/>
        <v>0.02</v>
      </c>
      <c r="S111" s="114">
        <f t="shared" si="29"/>
        <v>0.18534693877551</v>
      </c>
      <c r="T111" s="115">
        <f t="shared" si="30"/>
        <v>0.22</v>
      </c>
      <c r="U111" s="116">
        <v>0.06</v>
      </c>
      <c r="V111" s="117">
        <f t="shared" si="31"/>
        <v>0.18</v>
      </c>
      <c r="W111" s="117" t="str">
        <f t="shared" si="32"/>
        <v/>
      </c>
      <c r="X111" s="129"/>
      <c r="Y111" s="126">
        <f t="shared" si="33"/>
        <v>0.20534693877551</v>
      </c>
      <c r="Z111" s="130">
        <v>5912726492</v>
      </c>
    </row>
    <row r="112" ht="24" spans="1:26">
      <c r="A112" s="129"/>
      <c r="B112" s="129"/>
      <c r="C112" s="90" t="s">
        <v>361</v>
      </c>
      <c r="D112" s="129"/>
      <c r="E112" s="130" t="s">
        <v>565</v>
      </c>
      <c r="F112" s="132" t="s">
        <v>648</v>
      </c>
      <c r="G112" s="130" t="s">
        <v>590</v>
      </c>
      <c r="H112" s="131">
        <v>45313</v>
      </c>
      <c r="I112" s="129"/>
      <c r="J112" s="135" t="s">
        <v>665</v>
      </c>
      <c r="K112" s="29">
        <v>1</v>
      </c>
      <c r="L112" s="136">
        <v>4035.4</v>
      </c>
      <c r="M112" s="138">
        <v>5243</v>
      </c>
      <c r="N112" s="98">
        <f t="shared" ref="N112:N143" si="34">M112-L112</f>
        <v>1207.6</v>
      </c>
      <c r="O112" s="99">
        <f t="shared" ref="O112:O143" si="35">IF(AND($N112&lt;&gt;0,$M112&lt;&gt;0),$N112/$M112,"")</f>
        <v>0.230326149151249</v>
      </c>
      <c r="P112" s="89">
        <f t="shared" ref="P112:P143" si="36">M112*0.02</f>
        <v>104.86</v>
      </c>
      <c r="Q112" s="113">
        <f t="shared" ref="Q112:Q143" si="37">P112*K112</f>
        <v>104.86</v>
      </c>
      <c r="R112" s="58">
        <f t="shared" ref="R112:R143" si="38">IF(AND($P112&lt;&gt;0,$M112&lt;&gt;0),$P112/$M112,"")</f>
        <v>0.02</v>
      </c>
      <c r="S112" s="114">
        <f t="shared" ref="S112:S143" si="39">IF(AND(($N112*$K112-$Q112)&lt;&gt;0,($M112*$K112)&lt;&gt;0),($N112*$K112-$Q112)/($M112*$K112),"")</f>
        <v>0.210326149151249</v>
      </c>
      <c r="T112" s="115">
        <f t="shared" ref="T112:T143" si="40">IF($C112="深圳福达通",22%,IF($C112="康为",26%,IF($C112="新浪潮",26%,IF($C112="湖南飞英达",25%,IF($C112="志奋领",26%)))))</f>
        <v>0.22</v>
      </c>
      <c r="U112" s="116">
        <v>0.06</v>
      </c>
      <c r="V112" s="117">
        <f t="shared" ref="V112:V143" si="41">IF(T112-U112+R112&gt;0,T112-U112+R112,IF(T112-U112+R112=0,""))</f>
        <v>0.18</v>
      </c>
      <c r="W112" s="117" t="str">
        <f t="shared" ref="W112:W143" si="42">IF(S112-V112&lt;0,S112-V112,IF(S112-V112&gt;0,""))</f>
        <v/>
      </c>
      <c r="X112" s="129"/>
      <c r="Y112" s="126">
        <f t="shared" ref="Y112:Y143" si="43">IF(AND(($N112*$K112-$X112)&lt;&gt;0,($M112*$K112)&lt;&gt;0),($N112*$K112-$X112)/($M112*$K112),"")</f>
        <v>0.230326149151249</v>
      </c>
      <c r="Z112" s="130">
        <v>5912745695</v>
      </c>
    </row>
    <row r="113" ht="24" spans="1:26">
      <c r="A113" s="129"/>
      <c r="B113" s="129"/>
      <c r="C113" s="90" t="s">
        <v>361</v>
      </c>
      <c r="D113" s="129"/>
      <c r="E113" s="130" t="s">
        <v>565</v>
      </c>
      <c r="F113" s="132" t="s">
        <v>648</v>
      </c>
      <c r="G113" s="130" t="s">
        <v>590</v>
      </c>
      <c r="H113" s="131">
        <v>45313</v>
      </c>
      <c r="I113" s="129"/>
      <c r="J113" s="135" t="s">
        <v>665</v>
      </c>
      <c r="K113" s="29">
        <v>1</v>
      </c>
      <c r="L113" s="136">
        <v>4035.4</v>
      </c>
      <c r="M113" s="138">
        <v>5243</v>
      </c>
      <c r="N113" s="98">
        <f t="shared" si="34"/>
        <v>1207.6</v>
      </c>
      <c r="O113" s="99">
        <f t="shared" si="35"/>
        <v>0.230326149151249</v>
      </c>
      <c r="P113" s="89">
        <f t="shared" si="36"/>
        <v>104.86</v>
      </c>
      <c r="Q113" s="113">
        <f t="shared" si="37"/>
        <v>104.86</v>
      </c>
      <c r="R113" s="58">
        <f t="shared" si="38"/>
        <v>0.02</v>
      </c>
      <c r="S113" s="114">
        <f t="shared" si="39"/>
        <v>0.210326149151249</v>
      </c>
      <c r="T113" s="115">
        <f t="shared" si="40"/>
        <v>0.22</v>
      </c>
      <c r="U113" s="116">
        <v>0.06</v>
      </c>
      <c r="V113" s="117">
        <f t="shared" si="41"/>
        <v>0.18</v>
      </c>
      <c r="W113" s="117" t="str">
        <f t="shared" si="42"/>
        <v/>
      </c>
      <c r="X113" s="129"/>
      <c r="Y113" s="126">
        <f t="shared" si="43"/>
        <v>0.230326149151249</v>
      </c>
      <c r="Z113" s="130">
        <v>5912745695</v>
      </c>
    </row>
    <row r="114" ht="24" spans="1:26">
      <c r="A114" s="129"/>
      <c r="B114" s="129"/>
      <c r="C114" s="90" t="s">
        <v>361</v>
      </c>
      <c r="D114" s="129"/>
      <c r="E114" s="130" t="s">
        <v>565</v>
      </c>
      <c r="F114" s="132" t="s">
        <v>648</v>
      </c>
      <c r="G114" s="130" t="s">
        <v>590</v>
      </c>
      <c r="H114" s="131">
        <v>45313</v>
      </c>
      <c r="I114" s="129"/>
      <c r="J114" s="135" t="s">
        <v>665</v>
      </c>
      <c r="K114" s="29">
        <v>1</v>
      </c>
      <c r="L114" s="136">
        <v>4035.4</v>
      </c>
      <c r="M114" s="138">
        <v>5243</v>
      </c>
      <c r="N114" s="98">
        <f t="shared" si="34"/>
        <v>1207.6</v>
      </c>
      <c r="O114" s="99">
        <f t="shared" si="35"/>
        <v>0.230326149151249</v>
      </c>
      <c r="P114" s="89">
        <f t="shared" si="36"/>
        <v>104.86</v>
      </c>
      <c r="Q114" s="113">
        <f t="shared" si="37"/>
        <v>104.86</v>
      </c>
      <c r="R114" s="58">
        <f t="shared" si="38"/>
        <v>0.02</v>
      </c>
      <c r="S114" s="114">
        <f t="shared" si="39"/>
        <v>0.210326149151249</v>
      </c>
      <c r="T114" s="115">
        <f t="shared" si="40"/>
        <v>0.22</v>
      </c>
      <c r="U114" s="116">
        <v>0.06</v>
      </c>
      <c r="V114" s="117">
        <f t="shared" si="41"/>
        <v>0.18</v>
      </c>
      <c r="W114" s="117" t="str">
        <f t="shared" si="42"/>
        <v/>
      </c>
      <c r="X114" s="129"/>
      <c r="Y114" s="126">
        <f t="shared" si="43"/>
        <v>0.230326149151249</v>
      </c>
      <c r="Z114" s="130">
        <v>5912745695</v>
      </c>
    </row>
    <row r="115" ht="24" spans="1:26">
      <c r="A115" s="129"/>
      <c r="B115" s="129"/>
      <c r="C115" s="90" t="s">
        <v>361</v>
      </c>
      <c r="D115" s="129"/>
      <c r="E115" s="130" t="s">
        <v>565</v>
      </c>
      <c r="F115" s="132" t="s">
        <v>648</v>
      </c>
      <c r="G115" s="130" t="s">
        <v>590</v>
      </c>
      <c r="H115" s="131">
        <v>45313</v>
      </c>
      <c r="I115" s="129"/>
      <c r="J115" s="135" t="s">
        <v>665</v>
      </c>
      <c r="K115" s="29">
        <v>1</v>
      </c>
      <c r="L115" s="136">
        <v>4035.4</v>
      </c>
      <c r="M115" s="137">
        <v>5243</v>
      </c>
      <c r="N115" s="98">
        <f t="shared" si="34"/>
        <v>1207.6</v>
      </c>
      <c r="O115" s="99">
        <f t="shared" si="35"/>
        <v>0.230326149151249</v>
      </c>
      <c r="P115" s="89">
        <f t="shared" si="36"/>
        <v>104.86</v>
      </c>
      <c r="Q115" s="113">
        <f t="shared" si="37"/>
        <v>104.86</v>
      </c>
      <c r="R115" s="58">
        <f t="shared" si="38"/>
        <v>0.02</v>
      </c>
      <c r="S115" s="114">
        <f t="shared" si="39"/>
        <v>0.210326149151249</v>
      </c>
      <c r="T115" s="115">
        <f t="shared" si="40"/>
        <v>0.22</v>
      </c>
      <c r="U115" s="116">
        <v>0.06</v>
      </c>
      <c r="V115" s="117">
        <f t="shared" si="41"/>
        <v>0.18</v>
      </c>
      <c r="W115" s="117" t="str">
        <f t="shared" si="42"/>
        <v/>
      </c>
      <c r="X115" s="129"/>
      <c r="Y115" s="126">
        <f t="shared" si="43"/>
        <v>0.230326149151249</v>
      </c>
      <c r="Z115" s="130">
        <v>5912745713</v>
      </c>
    </row>
    <row r="116" ht="24" spans="1:26">
      <c r="A116" s="129"/>
      <c r="B116" s="129"/>
      <c r="C116" s="90" t="s">
        <v>361</v>
      </c>
      <c r="D116" s="129"/>
      <c r="E116" s="130" t="s">
        <v>565</v>
      </c>
      <c r="F116" s="132" t="s">
        <v>648</v>
      </c>
      <c r="G116" s="130" t="s">
        <v>590</v>
      </c>
      <c r="H116" s="131">
        <v>45313</v>
      </c>
      <c r="I116" s="129"/>
      <c r="J116" s="135" t="s">
        <v>665</v>
      </c>
      <c r="K116" s="29">
        <v>1</v>
      </c>
      <c r="L116" s="136">
        <v>4035.4</v>
      </c>
      <c r="M116" s="137">
        <v>5243</v>
      </c>
      <c r="N116" s="98">
        <f t="shared" si="34"/>
        <v>1207.6</v>
      </c>
      <c r="O116" s="99">
        <f t="shared" si="35"/>
        <v>0.230326149151249</v>
      </c>
      <c r="P116" s="89">
        <f t="shared" si="36"/>
        <v>104.86</v>
      </c>
      <c r="Q116" s="113">
        <f t="shared" si="37"/>
        <v>104.86</v>
      </c>
      <c r="R116" s="58">
        <f t="shared" si="38"/>
        <v>0.02</v>
      </c>
      <c r="S116" s="114">
        <f t="shared" si="39"/>
        <v>0.210326149151249</v>
      </c>
      <c r="T116" s="115">
        <f t="shared" si="40"/>
        <v>0.22</v>
      </c>
      <c r="U116" s="116">
        <v>0.06</v>
      </c>
      <c r="V116" s="117">
        <f t="shared" si="41"/>
        <v>0.18</v>
      </c>
      <c r="W116" s="117" t="str">
        <f t="shared" si="42"/>
        <v/>
      </c>
      <c r="X116" s="129"/>
      <c r="Y116" s="126">
        <f t="shared" si="43"/>
        <v>0.230326149151249</v>
      </c>
      <c r="Z116" s="130">
        <v>5912745713</v>
      </c>
    </row>
    <row r="117" ht="24" spans="1:26">
      <c r="A117" s="129"/>
      <c r="B117" s="129"/>
      <c r="C117" s="90" t="s">
        <v>361</v>
      </c>
      <c r="D117" s="129"/>
      <c r="E117" s="130" t="s">
        <v>565</v>
      </c>
      <c r="F117" s="130" t="s">
        <v>352</v>
      </c>
      <c r="G117" s="132" t="s">
        <v>591</v>
      </c>
      <c r="H117" s="131">
        <v>45316</v>
      </c>
      <c r="I117" s="129"/>
      <c r="J117" s="135" t="s">
        <v>641</v>
      </c>
      <c r="K117" s="29">
        <v>5</v>
      </c>
      <c r="L117" s="136">
        <v>13.67</v>
      </c>
      <c r="M117" s="137">
        <v>20</v>
      </c>
      <c r="N117" s="98">
        <f t="shared" si="34"/>
        <v>6.33</v>
      </c>
      <c r="O117" s="99">
        <f t="shared" si="35"/>
        <v>0.3165</v>
      </c>
      <c r="P117" s="89">
        <f t="shared" si="36"/>
        <v>0.4</v>
      </c>
      <c r="Q117" s="113">
        <f t="shared" si="37"/>
        <v>2</v>
      </c>
      <c r="R117" s="58">
        <f t="shared" si="38"/>
        <v>0.02</v>
      </c>
      <c r="S117" s="114">
        <f t="shared" si="39"/>
        <v>0.2965</v>
      </c>
      <c r="T117" s="115">
        <f t="shared" si="40"/>
        <v>0.22</v>
      </c>
      <c r="U117" s="116">
        <v>0.06</v>
      </c>
      <c r="V117" s="117">
        <f t="shared" si="41"/>
        <v>0.18</v>
      </c>
      <c r="W117" s="117" t="str">
        <f t="shared" si="42"/>
        <v/>
      </c>
      <c r="X117" s="129"/>
      <c r="Y117" s="126">
        <f t="shared" si="43"/>
        <v>0.3165</v>
      </c>
      <c r="Z117" s="130">
        <v>5912784155</v>
      </c>
    </row>
    <row r="118" ht="24" spans="1:26">
      <c r="A118" s="129"/>
      <c r="B118" s="129"/>
      <c r="C118" s="90" t="s">
        <v>361</v>
      </c>
      <c r="D118" s="129"/>
      <c r="E118" s="130" t="s">
        <v>565</v>
      </c>
      <c r="F118" s="130" t="s">
        <v>648</v>
      </c>
      <c r="G118" s="132" t="s">
        <v>591</v>
      </c>
      <c r="H118" s="131">
        <v>45316</v>
      </c>
      <c r="I118" s="129"/>
      <c r="J118" s="135" t="s">
        <v>666</v>
      </c>
      <c r="K118" s="29">
        <v>7</v>
      </c>
      <c r="L118" s="136">
        <v>273.45</v>
      </c>
      <c r="M118" s="137">
        <v>335</v>
      </c>
      <c r="N118" s="98">
        <f t="shared" si="34"/>
        <v>61.55</v>
      </c>
      <c r="O118" s="99">
        <f t="shared" si="35"/>
        <v>0.183731343283582</v>
      </c>
      <c r="P118" s="89">
        <f t="shared" si="36"/>
        <v>6.7</v>
      </c>
      <c r="Q118" s="113">
        <f t="shared" si="37"/>
        <v>46.9</v>
      </c>
      <c r="R118" s="58">
        <f t="shared" si="38"/>
        <v>0.02</v>
      </c>
      <c r="S118" s="114">
        <f t="shared" si="39"/>
        <v>0.163731343283582</v>
      </c>
      <c r="T118" s="115">
        <f t="shared" si="40"/>
        <v>0.22</v>
      </c>
      <c r="U118" s="116">
        <v>0.06</v>
      </c>
      <c r="V118" s="117">
        <f t="shared" si="41"/>
        <v>0.18</v>
      </c>
      <c r="W118" s="117">
        <f t="shared" si="42"/>
        <v>-0.0162686567164179</v>
      </c>
      <c r="X118" s="129"/>
      <c r="Y118" s="126">
        <f t="shared" si="43"/>
        <v>0.183731343283582</v>
      </c>
      <c r="Z118" s="130">
        <v>5912788308</v>
      </c>
    </row>
    <row r="119" ht="24" spans="1:26">
      <c r="A119" s="129"/>
      <c r="B119" s="129"/>
      <c r="C119" s="90" t="s">
        <v>361</v>
      </c>
      <c r="D119" s="129"/>
      <c r="E119" s="130" t="s">
        <v>565</v>
      </c>
      <c r="F119" s="130" t="s">
        <v>648</v>
      </c>
      <c r="G119" s="132" t="s">
        <v>591</v>
      </c>
      <c r="H119" s="131">
        <v>45316</v>
      </c>
      <c r="I119" s="129"/>
      <c r="J119" s="135" t="s">
        <v>666</v>
      </c>
      <c r="K119" s="29">
        <v>7</v>
      </c>
      <c r="L119" s="136">
        <v>273.45</v>
      </c>
      <c r="M119" s="137">
        <v>335</v>
      </c>
      <c r="N119" s="98">
        <f t="shared" si="34"/>
        <v>61.55</v>
      </c>
      <c r="O119" s="99">
        <f t="shared" si="35"/>
        <v>0.183731343283582</v>
      </c>
      <c r="P119" s="89">
        <f t="shared" si="36"/>
        <v>6.7</v>
      </c>
      <c r="Q119" s="113">
        <f t="shared" si="37"/>
        <v>46.9</v>
      </c>
      <c r="R119" s="58">
        <f t="shared" si="38"/>
        <v>0.02</v>
      </c>
      <c r="S119" s="114">
        <f t="shared" si="39"/>
        <v>0.163731343283582</v>
      </c>
      <c r="T119" s="115">
        <f t="shared" si="40"/>
        <v>0.22</v>
      </c>
      <c r="U119" s="116">
        <v>0.06</v>
      </c>
      <c r="V119" s="117">
        <f t="shared" si="41"/>
        <v>0.18</v>
      </c>
      <c r="W119" s="117">
        <f t="shared" si="42"/>
        <v>-0.0162686567164179</v>
      </c>
      <c r="X119" s="129"/>
      <c r="Y119" s="126">
        <f t="shared" si="43"/>
        <v>0.183731343283582</v>
      </c>
      <c r="Z119" s="130">
        <v>5912788735</v>
      </c>
    </row>
    <row r="120" ht="24" spans="1:26">
      <c r="A120" s="129"/>
      <c r="B120" s="129"/>
      <c r="C120" s="90" t="s">
        <v>361</v>
      </c>
      <c r="D120" s="129"/>
      <c r="E120" s="130" t="s">
        <v>565</v>
      </c>
      <c r="F120" s="130" t="s">
        <v>352</v>
      </c>
      <c r="G120" s="130" t="s">
        <v>593</v>
      </c>
      <c r="H120" s="131">
        <v>45320</v>
      </c>
      <c r="I120" s="129"/>
      <c r="J120" s="135" t="s">
        <v>667</v>
      </c>
      <c r="K120" s="132">
        <v>3</v>
      </c>
      <c r="L120" s="79">
        <v>8500</v>
      </c>
      <c r="M120" s="137">
        <v>10000</v>
      </c>
      <c r="N120" s="98">
        <f t="shared" si="34"/>
        <v>1500</v>
      </c>
      <c r="O120" s="99">
        <f t="shared" si="35"/>
        <v>0.15</v>
      </c>
      <c r="P120" s="89">
        <f t="shared" si="36"/>
        <v>200</v>
      </c>
      <c r="Q120" s="113">
        <f t="shared" si="37"/>
        <v>600</v>
      </c>
      <c r="R120" s="58">
        <f t="shared" si="38"/>
        <v>0.02</v>
      </c>
      <c r="S120" s="114">
        <f t="shared" si="39"/>
        <v>0.13</v>
      </c>
      <c r="T120" s="115">
        <f t="shared" si="40"/>
        <v>0.22</v>
      </c>
      <c r="U120" s="116">
        <v>0.06</v>
      </c>
      <c r="V120" s="117">
        <f t="shared" si="41"/>
        <v>0.18</v>
      </c>
      <c r="W120" s="117">
        <f t="shared" si="42"/>
        <v>-0.05</v>
      </c>
      <c r="X120" s="129"/>
      <c r="Y120" s="126">
        <f t="shared" si="43"/>
        <v>0.15</v>
      </c>
      <c r="Z120" s="130">
        <v>5912818100</v>
      </c>
    </row>
    <row r="121" ht="24" spans="1:26">
      <c r="A121" s="129"/>
      <c r="B121" s="129"/>
      <c r="C121" s="90" t="s">
        <v>361</v>
      </c>
      <c r="D121" s="129"/>
      <c r="E121" s="130" t="s">
        <v>565</v>
      </c>
      <c r="F121" s="130" t="s">
        <v>352</v>
      </c>
      <c r="G121" s="130" t="s">
        <v>601</v>
      </c>
      <c r="H121" s="131">
        <v>45320</v>
      </c>
      <c r="I121" s="129"/>
      <c r="J121" s="135" t="s">
        <v>668</v>
      </c>
      <c r="K121" s="132">
        <v>6</v>
      </c>
      <c r="L121" s="136">
        <v>2397.45</v>
      </c>
      <c r="M121" s="138">
        <v>2690</v>
      </c>
      <c r="N121" s="98">
        <f t="shared" si="34"/>
        <v>292.55</v>
      </c>
      <c r="O121" s="99">
        <f t="shared" si="35"/>
        <v>0.108754646840149</v>
      </c>
      <c r="P121" s="89">
        <f t="shared" si="36"/>
        <v>53.8</v>
      </c>
      <c r="Q121" s="113">
        <f t="shared" si="37"/>
        <v>322.8</v>
      </c>
      <c r="R121" s="58">
        <f t="shared" si="38"/>
        <v>0.02</v>
      </c>
      <c r="S121" s="114">
        <f t="shared" si="39"/>
        <v>0.0887546468401488</v>
      </c>
      <c r="T121" s="115">
        <f t="shared" si="40"/>
        <v>0.22</v>
      </c>
      <c r="U121" s="116">
        <v>0.06</v>
      </c>
      <c r="V121" s="117">
        <f t="shared" si="41"/>
        <v>0.18</v>
      </c>
      <c r="W121" s="117">
        <f t="shared" si="42"/>
        <v>-0.0912453531598512</v>
      </c>
      <c r="X121" s="129"/>
      <c r="Y121" s="126">
        <f t="shared" si="43"/>
        <v>0.108754646840149</v>
      </c>
      <c r="Z121" s="130">
        <v>5912818368</v>
      </c>
    </row>
    <row r="122" ht="24" spans="1:26">
      <c r="A122" s="129"/>
      <c r="B122" s="129"/>
      <c r="C122" s="90" t="s">
        <v>361</v>
      </c>
      <c r="D122" s="129"/>
      <c r="E122" s="130" t="s">
        <v>565</v>
      </c>
      <c r="F122" s="130" t="s">
        <v>352</v>
      </c>
      <c r="G122" s="130" t="s">
        <v>588</v>
      </c>
      <c r="H122" s="131">
        <v>45320</v>
      </c>
      <c r="I122" s="129"/>
      <c r="J122" s="135" t="s">
        <v>669</v>
      </c>
      <c r="K122" s="132">
        <v>2</v>
      </c>
      <c r="L122" s="136">
        <v>17168.14</v>
      </c>
      <c r="M122" s="138">
        <v>19975</v>
      </c>
      <c r="N122" s="98">
        <f t="shared" si="34"/>
        <v>2806.86</v>
      </c>
      <c r="O122" s="99">
        <f t="shared" si="35"/>
        <v>0.140518648310388</v>
      </c>
      <c r="P122" s="89">
        <f t="shared" si="36"/>
        <v>399.5</v>
      </c>
      <c r="Q122" s="113">
        <f t="shared" si="37"/>
        <v>799</v>
      </c>
      <c r="R122" s="58">
        <f t="shared" si="38"/>
        <v>0.02</v>
      </c>
      <c r="S122" s="114">
        <f t="shared" si="39"/>
        <v>0.120518648310388</v>
      </c>
      <c r="T122" s="115">
        <f t="shared" si="40"/>
        <v>0.22</v>
      </c>
      <c r="U122" s="116">
        <v>0.06</v>
      </c>
      <c r="V122" s="117">
        <f t="shared" si="41"/>
        <v>0.18</v>
      </c>
      <c r="W122" s="117">
        <f t="shared" si="42"/>
        <v>-0.059481351689612</v>
      </c>
      <c r="X122" s="129"/>
      <c r="Y122" s="126">
        <f t="shared" si="43"/>
        <v>0.140518648310388</v>
      </c>
      <c r="Z122" s="130">
        <v>5912818203</v>
      </c>
    </row>
    <row r="123" ht="24" spans="1:26">
      <c r="A123" s="129"/>
      <c r="B123" s="129"/>
      <c r="C123" s="90" t="s">
        <v>361</v>
      </c>
      <c r="D123" s="129"/>
      <c r="E123" s="130" t="s">
        <v>565</v>
      </c>
      <c r="F123" s="130" t="s">
        <v>352</v>
      </c>
      <c r="G123" s="130" t="s">
        <v>670</v>
      </c>
      <c r="H123" s="131">
        <v>45321</v>
      </c>
      <c r="I123" s="129"/>
      <c r="J123" s="135" t="s">
        <v>613</v>
      </c>
      <c r="K123" s="132">
        <v>2</v>
      </c>
      <c r="L123" s="136">
        <v>407.08</v>
      </c>
      <c r="M123" s="137">
        <v>529</v>
      </c>
      <c r="N123" s="98">
        <f t="shared" si="34"/>
        <v>121.92</v>
      </c>
      <c r="O123" s="99">
        <f t="shared" si="35"/>
        <v>0.230472589792061</v>
      </c>
      <c r="P123" s="89">
        <f t="shared" si="36"/>
        <v>10.58</v>
      </c>
      <c r="Q123" s="113">
        <f t="shared" si="37"/>
        <v>21.16</v>
      </c>
      <c r="R123" s="58">
        <f t="shared" si="38"/>
        <v>0.02</v>
      </c>
      <c r="S123" s="114">
        <f t="shared" si="39"/>
        <v>0.210472589792061</v>
      </c>
      <c r="T123" s="115">
        <f t="shared" si="40"/>
        <v>0.22</v>
      </c>
      <c r="U123" s="116">
        <v>0.06</v>
      </c>
      <c r="V123" s="117">
        <f t="shared" si="41"/>
        <v>0.18</v>
      </c>
      <c r="W123" s="117" t="str">
        <f t="shared" si="42"/>
        <v/>
      </c>
      <c r="X123" s="129"/>
      <c r="Y123" s="126">
        <f t="shared" si="43"/>
        <v>0.230472589792061</v>
      </c>
      <c r="Z123" s="130">
        <v>5912834007</v>
      </c>
    </row>
    <row r="124" ht="24" spans="1:26">
      <c r="A124" s="129"/>
      <c r="B124" s="129"/>
      <c r="C124" s="90" t="s">
        <v>361</v>
      </c>
      <c r="D124" s="129"/>
      <c r="E124" s="130" t="s">
        <v>565</v>
      </c>
      <c r="F124" s="130" t="s">
        <v>671</v>
      </c>
      <c r="G124" s="130" t="s">
        <v>612</v>
      </c>
      <c r="H124" s="131">
        <v>45321</v>
      </c>
      <c r="I124" s="129"/>
      <c r="J124" s="135" t="s">
        <v>672</v>
      </c>
      <c r="K124" s="132">
        <v>50</v>
      </c>
      <c r="L124" s="136">
        <v>111.5</v>
      </c>
      <c r="M124" s="137">
        <v>148</v>
      </c>
      <c r="N124" s="98">
        <f t="shared" si="34"/>
        <v>36.5</v>
      </c>
      <c r="O124" s="99">
        <f t="shared" si="35"/>
        <v>0.246621621621622</v>
      </c>
      <c r="P124" s="89">
        <f t="shared" si="36"/>
        <v>2.96</v>
      </c>
      <c r="Q124" s="113">
        <f t="shared" si="37"/>
        <v>148</v>
      </c>
      <c r="R124" s="58">
        <f t="shared" si="38"/>
        <v>0.02</v>
      </c>
      <c r="S124" s="114">
        <f t="shared" si="39"/>
        <v>0.226621621621622</v>
      </c>
      <c r="T124" s="115">
        <f t="shared" si="40"/>
        <v>0.22</v>
      </c>
      <c r="U124" s="116">
        <v>0.06</v>
      </c>
      <c r="V124" s="117">
        <f t="shared" si="41"/>
        <v>0.18</v>
      </c>
      <c r="W124" s="117" t="str">
        <f t="shared" si="42"/>
        <v/>
      </c>
      <c r="X124" s="129"/>
      <c r="Y124" s="126">
        <f t="shared" si="43"/>
        <v>0.246621621621622</v>
      </c>
      <c r="Z124" s="130">
        <v>5912835735</v>
      </c>
    </row>
    <row r="125" ht="24" spans="1:26">
      <c r="A125" s="129"/>
      <c r="B125" s="129"/>
      <c r="C125" s="90" t="s">
        <v>361</v>
      </c>
      <c r="D125" s="129"/>
      <c r="E125" s="130" t="s">
        <v>565</v>
      </c>
      <c r="F125" s="130" t="s">
        <v>671</v>
      </c>
      <c r="G125" s="130" t="s">
        <v>673</v>
      </c>
      <c r="H125" s="131">
        <v>45321</v>
      </c>
      <c r="I125" s="129"/>
      <c r="J125" s="135" t="s">
        <v>672</v>
      </c>
      <c r="K125" s="132">
        <v>5</v>
      </c>
      <c r="L125" s="136">
        <v>111.5</v>
      </c>
      <c r="M125" s="137">
        <v>148</v>
      </c>
      <c r="N125" s="98">
        <f t="shared" si="34"/>
        <v>36.5</v>
      </c>
      <c r="O125" s="99">
        <f t="shared" si="35"/>
        <v>0.246621621621622</v>
      </c>
      <c r="P125" s="89">
        <f t="shared" si="36"/>
        <v>2.96</v>
      </c>
      <c r="Q125" s="113">
        <f t="shared" si="37"/>
        <v>14.8</v>
      </c>
      <c r="R125" s="58">
        <f t="shared" si="38"/>
        <v>0.02</v>
      </c>
      <c r="S125" s="114">
        <f t="shared" si="39"/>
        <v>0.226621621621622</v>
      </c>
      <c r="T125" s="115">
        <f t="shared" si="40"/>
        <v>0.22</v>
      </c>
      <c r="U125" s="116">
        <v>0.06</v>
      </c>
      <c r="V125" s="117">
        <f t="shared" si="41"/>
        <v>0.18</v>
      </c>
      <c r="W125" s="117" t="str">
        <f t="shared" si="42"/>
        <v/>
      </c>
      <c r="X125" s="129"/>
      <c r="Y125" s="126">
        <f t="shared" si="43"/>
        <v>0.246621621621622</v>
      </c>
      <c r="Z125" s="130">
        <v>5912835735</v>
      </c>
    </row>
    <row r="126" ht="24" spans="1:26">
      <c r="A126" s="129"/>
      <c r="B126" s="129"/>
      <c r="C126" s="90" t="s">
        <v>361</v>
      </c>
      <c r="D126" s="129"/>
      <c r="E126" s="130" t="s">
        <v>565</v>
      </c>
      <c r="F126" s="130" t="s">
        <v>352</v>
      </c>
      <c r="G126" s="130" t="s">
        <v>584</v>
      </c>
      <c r="H126" s="131">
        <v>45321</v>
      </c>
      <c r="I126" s="129"/>
      <c r="J126" s="135" t="s">
        <v>615</v>
      </c>
      <c r="K126" s="132">
        <v>3</v>
      </c>
      <c r="L126" s="136">
        <v>1699.12</v>
      </c>
      <c r="M126" s="137">
        <v>2450</v>
      </c>
      <c r="N126" s="98">
        <f t="shared" si="34"/>
        <v>750.88</v>
      </c>
      <c r="O126" s="99">
        <f t="shared" si="35"/>
        <v>0.306481632653061</v>
      </c>
      <c r="P126" s="89">
        <f t="shared" si="36"/>
        <v>49</v>
      </c>
      <c r="Q126" s="113">
        <f t="shared" si="37"/>
        <v>147</v>
      </c>
      <c r="R126" s="58">
        <f t="shared" si="38"/>
        <v>0.02</v>
      </c>
      <c r="S126" s="114">
        <f t="shared" si="39"/>
        <v>0.286481632653061</v>
      </c>
      <c r="T126" s="115">
        <f t="shared" si="40"/>
        <v>0.22</v>
      </c>
      <c r="U126" s="116">
        <v>0.06</v>
      </c>
      <c r="V126" s="117">
        <f t="shared" si="41"/>
        <v>0.18</v>
      </c>
      <c r="W126" s="117" t="str">
        <f t="shared" si="42"/>
        <v/>
      </c>
      <c r="X126" s="129"/>
      <c r="Y126" s="126">
        <f t="shared" si="43"/>
        <v>0.306481632653061</v>
      </c>
      <c r="Z126" s="130">
        <v>5912840390</v>
      </c>
    </row>
    <row r="127" ht="24" spans="1:26">
      <c r="A127" s="129"/>
      <c r="B127" s="129"/>
      <c r="C127" s="90" t="s">
        <v>361</v>
      </c>
      <c r="D127" s="129"/>
      <c r="E127" s="130" t="s">
        <v>565</v>
      </c>
      <c r="F127" s="130" t="s">
        <v>352</v>
      </c>
      <c r="G127" s="130" t="s">
        <v>631</v>
      </c>
      <c r="H127" s="131">
        <v>45322</v>
      </c>
      <c r="I127" s="129"/>
      <c r="J127" s="135" t="s">
        <v>632</v>
      </c>
      <c r="K127" s="132">
        <v>9</v>
      </c>
      <c r="L127" s="136">
        <v>2767.81</v>
      </c>
      <c r="M127" s="137">
        <v>3365</v>
      </c>
      <c r="N127" s="98">
        <f t="shared" si="34"/>
        <v>597.19</v>
      </c>
      <c r="O127" s="99">
        <f t="shared" si="35"/>
        <v>0.17747102526003</v>
      </c>
      <c r="P127" s="89">
        <f t="shared" si="36"/>
        <v>67.3</v>
      </c>
      <c r="Q127" s="113">
        <f t="shared" si="37"/>
        <v>605.7</v>
      </c>
      <c r="R127" s="58">
        <f t="shared" si="38"/>
        <v>0.02</v>
      </c>
      <c r="S127" s="114">
        <f t="shared" si="39"/>
        <v>0.15747102526003</v>
      </c>
      <c r="T127" s="115">
        <f t="shared" si="40"/>
        <v>0.22</v>
      </c>
      <c r="U127" s="116">
        <v>0.06</v>
      </c>
      <c r="V127" s="117">
        <f t="shared" si="41"/>
        <v>0.18</v>
      </c>
      <c r="W127" s="117">
        <f t="shared" si="42"/>
        <v>-0.0225289747399702</v>
      </c>
      <c r="X127" s="129"/>
      <c r="Y127" s="126">
        <f t="shared" si="43"/>
        <v>0.17747102526003</v>
      </c>
      <c r="Z127" s="130">
        <v>5912842485</v>
      </c>
    </row>
    <row r="128" ht="24" spans="1:26">
      <c r="A128" s="129"/>
      <c r="B128" s="129"/>
      <c r="C128" s="90" t="s">
        <v>361</v>
      </c>
      <c r="D128" s="129"/>
      <c r="E128" s="130" t="s">
        <v>565</v>
      </c>
      <c r="F128" s="130" t="s">
        <v>352</v>
      </c>
      <c r="G128" s="130" t="s">
        <v>588</v>
      </c>
      <c r="H128" s="131">
        <v>45324</v>
      </c>
      <c r="I128" s="129"/>
      <c r="J128" s="135" t="s">
        <v>674</v>
      </c>
      <c r="K128" s="132">
        <v>1</v>
      </c>
      <c r="L128" s="136">
        <v>172.57</v>
      </c>
      <c r="M128" s="137">
        <v>245</v>
      </c>
      <c r="N128" s="98">
        <f t="shared" si="34"/>
        <v>72.43</v>
      </c>
      <c r="O128" s="99">
        <f t="shared" si="35"/>
        <v>0.295632653061224</v>
      </c>
      <c r="P128" s="89">
        <f t="shared" si="36"/>
        <v>4.9</v>
      </c>
      <c r="Q128" s="113">
        <f t="shared" si="37"/>
        <v>4.9</v>
      </c>
      <c r="R128" s="58">
        <f t="shared" si="38"/>
        <v>0.02</v>
      </c>
      <c r="S128" s="114">
        <f t="shared" si="39"/>
        <v>0.275632653061224</v>
      </c>
      <c r="T128" s="115">
        <f t="shared" si="40"/>
        <v>0.22</v>
      </c>
      <c r="U128" s="116">
        <v>0.06</v>
      </c>
      <c r="V128" s="117">
        <f t="shared" si="41"/>
        <v>0.18</v>
      </c>
      <c r="W128" s="117" t="str">
        <f t="shared" si="42"/>
        <v/>
      </c>
      <c r="X128" s="129"/>
      <c r="Y128" s="126">
        <f t="shared" si="43"/>
        <v>0.295632653061224</v>
      </c>
      <c r="Z128" s="130">
        <v>5912868954</v>
      </c>
    </row>
    <row r="129" ht="24" spans="1:26">
      <c r="A129" s="129"/>
      <c r="B129" s="129"/>
      <c r="C129" s="90" t="s">
        <v>361</v>
      </c>
      <c r="D129" s="129"/>
      <c r="E129" s="130" t="s">
        <v>565</v>
      </c>
      <c r="F129" s="130" t="s">
        <v>352</v>
      </c>
      <c r="G129" s="130" t="s">
        <v>588</v>
      </c>
      <c r="H129" s="131">
        <v>45324</v>
      </c>
      <c r="I129" s="129"/>
      <c r="J129" s="135" t="s">
        <v>674</v>
      </c>
      <c r="K129" s="132">
        <v>2</v>
      </c>
      <c r="L129" s="136">
        <v>172.57</v>
      </c>
      <c r="M129" s="137">
        <v>245</v>
      </c>
      <c r="N129" s="98">
        <f t="shared" si="34"/>
        <v>72.43</v>
      </c>
      <c r="O129" s="99">
        <f t="shared" si="35"/>
        <v>0.295632653061224</v>
      </c>
      <c r="P129" s="89">
        <f t="shared" si="36"/>
        <v>4.9</v>
      </c>
      <c r="Q129" s="113">
        <f t="shared" si="37"/>
        <v>9.8</v>
      </c>
      <c r="R129" s="58">
        <f t="shared" si="38"/>
        <v>0.02</v>
      </c>
      <c r="S129" s="114">
        <f t="shared" si="39"/>
        <v>0.275632653061224</v>
      </c>
      <c r="T129" s="115">
        <f t="shared" si="40"/>
        <v>0.22</v>
      </c>
      <c r="U129" s="116">
        <v>0.06</v>
      </c>
      <c r="V129" s="117">
        <f t="shared" si="41"/>
        <v>0.18</v>
      </c>
      <c r="W129" s="117" t="str">
        <f t="shared" si="42"/>
        <v/>
      </c>
      <c r="X129" s="129"/>
      <c r="Y129" s="126">
        <f t="shared" si="43"/>
        <v>0.295632653061224</v>
      </c>
      <c r="Z129" s="130">
        <v>5912868954</v>
      </c>
    </row>
    <row r="130" ht="24" spans="1:26">
      <c r="A130" s="129"/>
      <c r="B130" s="129"/>
      <c r="C130" s="90" t="s">
        <v>361</v>
      </c>
      <c r="D130" s="129"/>
      <c r="E130" s="130" t="s">
        <v>565</v>
      </c>
      <c r="F130" s="130" t="s">
        <v>352</v>
      </c>
      <c r="G130" s="130" t="s">
        <v>588</v>
      </c>
      <c r="H130" s="131">
        <v>45340</v>
      </c>
      <c r="I130" s="129"/>
      <c r="J130" s="135" t="s">
        <v>674</v>
      </c>
      <c r="K130" s="132">
        <v>2</v>
      </c>
      <c r="L130" s="136">
        <v>172.57</v>
      </c>
      <c r="M130" s="137">
        <v>245</v>
      </c>
      <c r="N130" s="98">
        <f t="shared" si="34"/>
        <v>72.43</v>
      </c>
      <c r="O130" s="99">
        <f t="shared" si="35"/>
        <v>0.295632653061224</v>
      </c>
      <c r="P130" s="89">
        <f t="shared" si="36"/>
        <v>4.9</v>
      </c>
      <c r="Q130" s="113">
        <f t="shared" si="37"/>
        <v>9.8</v>
      </c>
      <c r="R130" s="58">
        <f t="shared" si="38"/>
        <v>0.02</v>
      </c>
      <c r="S130" s="114">
        <f t="shared" si="39"/>
        <v>0.275632653061224</v>
      </c>
      <c r="T130" s="115">
        <f t="shared" si="40"/>
        <v>0.22</v>
      </c>
      <c r="U130" s="116">
        <v>0.06</v>
      </c>
      <c r="V130" s="117">
        <f t="shared" si="41"/>
        <v>0.18</v>
      </c>
      <c r="W130" s="117" t="str">
        <f t="shared" si="42"/>
        <v/>
      </c>
      <c r="X130" s="129"/>
      <c r="Y130" s="126">
        <f t="shared" si="43"/>
        <v>0.295632653061224</v>
      </c>
      <c r="Z130" s="130">
        <v>5912900860</v>
      </c>
    </row>
    <row r="131" ht="24" spans="1:26">
      <c r="A131" s="129"/>
      <c r="B131" s="129"/>
      <c r="C131" s="90" t="s">
        <v>361</v>
      </c>
      <c r="D131" s="129"/>
      <c r="E131" s="130" t="s">
        <v>565</v>
      </c>
      <c r="F131" s="130" t="s">
        <v>352</v>
      </c>
      <c r="G131" s="130" t="s">
        <v>631</v>
      </c>
      <c r="H131" s="131">
        <v>45343</v>
      </c>
      <c r="I131" s="129"/>
      <c r="J131" s="135" t="s">
        <v>675</v>
      </c>
      <c r="K131" s="132">
        <v>5</v>
      </c>
      <c r="L131" s="136">
        <v>6169.74</v>
      </c>
      <c r="M131" s="137">
        <v>7178</v>
      </c>
      <c r="N131" s="98">
        <f t="shared" si="34"/>
        <v>1008.26</v>
      </c>
      <c r="O131" s="99">
        <f t="shared" si="35"/>
        <v>0.140465310671496</v>
      </c>
      <c r="P131" s="89">
        <f t="shared" si="36"/>
        <v>143.56</v>
      </c>
      <c r="Q131" s="113">
        <f t="shared" si="37"/>
        <v>717.8</v>
      </c>
      <c r="R131" s="58">
        <f t="shared" si="38"/>
        <v>0.02</v>
      </c>
      <c r="S131" s="114">
        <f t="shared" si="39"/>
        <v>0.120465310671496</v>
      </c>
      <c r="T131" s="115">
        <f t="shared" si="40"/>
        <v>0.22</v>
      </c>
      <c r="U131" s="116">
        <v>0.06</v>
      </c>
      <c r="V131" s="117">
        <f t="shared" si="41"/>
        <v>0.18</v>
      </c>
      <c r="W131" s="117">
        <f t="shared" si="42"/>
        <v>-0.0595346893285037</v>
      </c>
      <c r="X131" s="129"/>
      <c r="Y131" s="126">
        <f t="shared" si="43"/>
        <v>0.140465310671496</v>
      </c>
      <c r="Z131" s="130">
        <v>5912919679</v>
      </c>
    </row>
    <row r="132" spans="1:26">
      <c r="A132" s="129"/>
      <c r="B132" s="129"/>
      <c r="C132" s="90" t="s">
        <v>361</v>
      </c>
      <c r="D132" s="129"/>
      <c r="E132" s="130" t="s">
        <v>626</v>
      </c>
      <c r="F132" s="130" t="s">
        <v>352</v>
      </c>
      <c r="G132" s="130" t="s">
        <v>591</v>
      </c>
      <c r="H132" s="131">
        <v>45343</v>
      </c>
      <c r="I132" s="129"/>
      <c r="J132" s="135" t="s">
        <v>636</v>
      </c>
      <c r="K132" s="132">
        <v>5</v>
      </c>
      <c r="L132" s="136">
        <v>2689.23</v>
      </c>
      <c r="M132" s="137">
        <v>3298</v>
      </c>
      <c r="N132" s="98">
        <f t="shared" si="34"/>
        <v>608.77</v>
      </c>
      <c r="O132" s="99">
        <f t="shared" si="35"/>
        <v>0.184587628865979</v>
      </c>
      <c r="P132" s="89">
        <f t="shared" si="36"/>
        <v>65.96</v>
      </c>
      <c r="Q132" s="113">
        <f t="shared" si="37"/>
        <v>329.8</v>
      </c>
      <c r="R132" s="58">
        <f t="shared" si="38"/>
        <v>0.02</v>
      </c>
      <c r="S132" s="114">
        <f t="shared" si="39"/>
        <v>0.164587628865979</v>
      </c>
      <c r="T132" s="115">
        <f t="shared" si="40"/>
        <v>0.22</v>
      </c>
      <c r="U132" s="116">
        <v>0.06</v>
      </c>
      <c r="V132" s="117">
        <f t="shared" si="41"/>
        <v>0.18</v>
      </c>
      <c r="W132" s="117">
        <f t="shared" si="42"/>
        <v>-0.0154123711340206</v>
      </c>
      <c r="X132" s="129"/>
      <c r="Y132" s="126">
        <f t="shared" si="43"/>
        <v>0.184587628865979</v>
      </c>
      <c r="Z132" s="130">
        <v>4100188891</v>
      </c>
    </row>
    <row r="133" ht="24" spans="1:26">
      <c r="A133" s="129"/>
      <c r="B133" s="129"/>
      <c r="C133" s="90" t="s">
        <v>361</v>
      </c>
      <c r="D133" s="129"/>
      <c r="E133" s="130" t="s">
        <v>565</v>
      </c>
      <c r="F133" s="130" t="s">
        <v>648</v>
      </c>
      <c r="G133" s="130" t="s">
        <v>676</v>
      </c>
      <c r="H133" s="131">
        <v>45345</v>
      </c>
      <c r="I133" s="129"/>
      <c r="J133" s="135" t="s">
        <v>663</v>
      </c>
      <c r="K133" s="132">
        <v>2</v>
      </c>
      <c r="L133" s="136">
        <v>380</v>
      </c>
      <c r="M133" s="137">
        <v>815</v>
      </c>
      <c r="N133" s="98">
        <f t="shared" si="34"/>
        <v>435</v>
      </c>
      <c r="O133" s="99">
        <f t="shared" si="35"/>
        <v>0.533742331288344</v>
      </c>
      <c r="P133" s="89">
        <f t="shared" si="36"/>
        <v>16.3</v>
      </c>
      <c r="Q133" s="113">
        <f t="shared" si="37"/>
        <v>32.6</v>
      </c>
      <c r="R133" s="58">
        <f t="shared" si="38"/>
        <v>0.02</v>
      </c>
      <c r="S133" s="114">
        <f t="shared" si="39"/>
        <v>0.513742331288344</v>
      </c>
      <c r="T133" s="115">
        <f t="shared" si="40"/>
        <v>0.22</v>
      </c>
      <c r="U133" s="116">
        <v>0.06</v>
      </c>
      <c r="V133" s="117">
        <f t="shared" si="41"/>
        <v>0.18</v>
      </c>
      <c r="W133" s="117" t="str">
        <f t="shared" si="42"/>
        <v/>
      </c>
      <c r="X133" s="129"/>
      <c r="Y133" s="126">
        <f t="shared" si="43"/>
        <v>0.533742331288344</v>
      </c>
      <c r="Z133" s="130">
        <v>5912945105</v>
      </c>
    </row>
    <row r="134" ht="24" spans="1:26">
      <c r="A134" s="129"/>
      <c r="B134" s="129"/>
      <c r="C134" s="90" t="s">
        <v>361</v>
      </c>
      <c r="D134" s="129"/>
      <c r="E134" s="130" t="s">
        <v>565</v>
      </c>
      <c r="F134" s="130" t="s">
        <v>671</v>
      </c>
      <c r="G134" s="130" t="s">
        <v>591</v>
      </c>
      <c r="H134" s="131">
        <v>45350</v>
      </c>
      <c r="I134" s="129"/>
      <c r="J134" s="135" t="s">
        <v>641</v>
      </c>
      <c r="K134" s="132">
        <v>4</v>
      </c>
      <c r="L134" s="136">
        <v>12.19</v>
      </c>
      <c r="M134" s="137">
        <v>20</v>
      </c>
      <c r="N134" s="98">
        <f t="shared" si="34"/>
        <v>7.81</v>
      </c>
      <c r="O134" s="99">
        <f t="shared" si="35"/>
        <v>0.3905</v>
      </c>
      <c r="P134" s="89">
        <f t="shared" si="36"/>
        <v>0.4</v>
      </c>
      <c r="Q134" s="113">
        <f t="shared" si="37"/>
        <v>1.6</v>
      </c>
      <c r="R134" s="58">
        <f t="shared" si="38"/>
        <v>0.02</v>
      </c>
      <c r="S134" s="114">
        <f t="shared" si="39"/>
        <v>0.3705</v>
      </c>
      <c r="T134" s="115">
        <f t="shared" si="40"/>
        <v>0.22</v>
      </c>
      <c r="U134" s="116">
        <v>0.06</v>
      </c>
      <c r="V134" s="117">
        <f t="shared" si="41"/>
        <v>0.18</v>
      </c>
      <c r="W134" s="117" t="str">
        <f t="shared" si="42"/>
        <v/>
      </c>
      <c r="X134" s="129"/>
      <c r="Y134" s="126">
        <f t="shared" si="43"/>
        <v>0.3905</v>
      </c>
      <c r="Z134" s="130">
        <v>5912988353</v>
      </c>
    </row>
    <row r="135" ht="36" spans="1:26">
      <c r="A135" s="129"/>
      <c r="B135" s="129"/>
      <c r="C135" s="90" t="s">
        <v>361</v>
      </c>
      <c r="D135" s="129"/>
      <c r="E135" s="130" t="s">
        <v>677</v>
      </c>
      <c r="F135" s="130" t="s">
        <v>671</v>
      </c>
      <c r="G135" s="130" t="s">
        <v>591</v>
      </c>
      <c r="H135" s="131">
        <v>45351</v>
      </c>
      <c r="I135" s="129"/>
      <c r="J135" s="135" t="s">
        <v>641</v>
      </c>
      <c r="K135" s="132">
        <v>48</v>
      </c>
      <c r="L135" s="136">
        <v>12.19</v>
      </c>
      <c r="M135" s="137">
        <v>20</v>
      </c>
      <c r="N135" s="98">
        <f t="shared" si="34"/>
        <v>7.81</v>
      </c>
      <c r="O135" s="99">
        <f t="shared" si="35"/>
        <v>0.3905</v>
      </c>
      <c r="P135" s="89">
        <f t="shared" si="36"/>
        <v>0.4</v>
      </c>
      <c r="Q135" s="113">
        <f t="shared" si="37"/>
        <v>19.2</v>
      </c>
      <c r="R135" s="58">
        <f t="shared" si="38"/>
        <v>0.02</v>
      </c>
      <c r="S135" s="114">
        <f t="shared" si="39"/>
        <v>0.3705</v>
      </c>
      <c r="T135" s="115">
        <f t="shared" si="40"/>
        <v>0.22</v>
      </c>
      <c r="U135" s="116">
        <v>0.06</v>
      </c>
      <c r="V135" s="117">
        <f t="shared" si="41"/>
        <v>0.18</v>
      </c>
      <c r="W135" s="117" t="str">
        <f t="shared" si="42"/>
        <v/>
      </c>
      <c r="X135" s="129"/>
      <c r="Y135" s="126">
        <f t="shared" si="43"/>
        <v>0.3905</v>
      </c>
      <c r="Z135" s="130">
        <v>5913002456</v>
      </c>
    </row>
    <row r="136" ht="24" spans="1:26">
      <c r="A136" s="129"/>
      <c r="B136" s="129"/>
      <c r="C136" s="90" t="s">
        <v>361</v>
      </c>
      <c r="D136" s="129"/>
      <c r="E136" s="130" t="s">
        <v>565</v>
      </c>
      <c r="F136" s="130" t="s">
        <v>671</v>
      </c>
      <c r="G136" s="130" t="s">
        <v>591</v>
      </c>
      <c r="H136" s="131">
        <v>45352</v>
      </c>
      <c r="I136" s="129"/>
      <c r="J136" s="135" t="s">
        <v>641</v>
      </c>
      <c r="K136" s="132">
        <v>4</v>
      </c>
      <c r="L136" s="136">
        <v>12.19</v>
      </c>
      <c r="M136" s="137">
        <v>20</v>
      </c>
      <c r="N136" s="98">
        <f t="shared" si="34"/>
        <v>7.81</v>
      </c>
      <c r="O136" s="99">
        <f t="shared" si="35"/>
        <v>0.3905</v>
      </c>
      <c r="P136" s="89">
        <f t="shared" si="36"/>
        <v>0.4</v>
      </c>
      <c r="Q136" s="113">
        <f t="shared" si="37"/>
        <v>1.6</v>
      </c>
      <c r="R136" s="58">
        <f t="shared" si="38"/>
        <v>0.02</v>
      </c>
      <c r="S136" s="114">
        <f t="shared" si="39"/>
        <v>0.3705</v>
      </c>
      <c r="T136" s="115">
        <f t="shared" si="40"/>
        <v>0.22</v>
      </c>
      <c r="U136" s="116">
        <v>0.06</v>
      </c>
      <c r="V136" s="117">
        <f t="shared" si="41"/>
        <v>0.18</v>
      </c>
      <c r="W136" s="117" t="str">
        <f t="shared" si="42"/>
        <v/>
      </c>
      <c r="X136" s="129"/>
      <c r="Y136" s="126">
        <f t="shared" si="43"/>
        <v>0.3905</v>
      </c>
      <c r="Z136" s="130">
        <v>5913012811</v>
      </c>
    </row>
    <row r="137" ht="24" spans="1:26">
      <c r="A137" s="129"/>
      <c r="B137" s="129"/>
      <c r="C137" s="90" t="s">
        <v>361</v>
      </c>
      <c r="D137" s="129"/>
      <c r="E137" s="130" t="s">
        <v>565</v>
      </c>
      <c r="F137" s="130" t="s">
        <v>671</v>
      </c>
      <c r="G137" s="130" t="s">
        <v>658</v>
      </c>
      <c r="H137" s="131">
        <v>45355</v>
      </c>
      <c r="I137" s="129"/>
      <c r="J137" s="135" t="s">
        <v>674</v>
      </c>
      <c r="K137" s="132">
        <v>4</v>
      </c>
      <c r="L137" s="136">
        <v>172.57</v>
      </c>
      <c r="M137" s="137">
        <v>245</v>
      </c>
      <c r="N137" s="98">
        <f t="shared" si="34"/>
        <v>72.43</v>
      </c>
      <c r="O137" s="99">
        <f t="shared" si="35"/>
        <v>0.295632653061224</v>
      </c>
      <c r="P137" s="89">
        <f t="shared" si="36"/>
        <v>4.9</v>
      </c>
      <c r="Q137" s="113">
        <f t="shared" si="37"/>
        <v>19.6</v>
      </c>
      <c r="R137" s="58">
        <f t="shared" si="38"/>
        <v>0.02</v>
      </c>
      <c r="S137" s="114">
        <f t="shared" si="39"/>
        <v>0.275632653061224</v>
      </c>
      <c r="T137" s="115">
        <f t="shared" si="40"/>
        <v>0.22</v>
      </c>
      <c r="U137" s="116">
        <v>0.06</v>
      </c>
      <c r="V137" s="117">
        <f t="shared" si="41"/>
        <v>0.18</v>
      </c>
      <c r="W137" s="117" t="str">
        <f t="shared" si="42"/>
        <v/>
      </c>
      <c r="X137" s="129"/>
      <c r="Y137" s="126">
        <f t="shared" si="43"/>
        <v>0.295632653061224</v>
      </c>
      <c r="Z137" s="130">
        <v>5913039701</v>
      </c>
    </row>
    <row r="138" ht="36" spans="1:26">
      <c r="A138" s="129"/>
      <c r="B138" s="129"/>
      <c r="C138" s="90" t="s">
        <v>361</v>
      </c>
      <c r="D138" s="129"/>
      <c r="E138" s="130" t="s">
        <v>677</v>
      </c>
      <c r="F138" s="130" t="s">
        <v>671</v>
      </c>
      <c r="G138" s="130" t="s">
        <v>568</v>
      </c>
      <c r="H138" s="131">
        <v>45355</v>
      </c>
      <c r="I138" s="129"/>
      <c r="J138" s="135" t="s">
        <v>678</v>
      </c>
      <c r="K138" s="132">
        <v>1</v>
      </c>
      <c r="L138" s="136">
        <v>431.25</v>
      </c>
      <c r="M138" s="137">
        <v>545</v>
      </c>
      <c r="N138" s="98">
        <f t="shared" si="34"/>
        <v>113.75</v>
      </c>
      <c r="O138" s="99">
        <f t="shared" si="35"/>
        <v>0.208715596330275</v>
      </c>
      <c r="P138" s="89">
        <f t="shared" si="36"/>
        <v>10.9</v>
      </c>
      <c r="Q138" s="113">
        <f t="shared" si="37"/>
        <v>10.9</v>
      </c>
      <c r="R138" s="58">
        <f t="shared" si="38"/>
        <v>0.02</v>
      </c>
      <c r="S138" s="114">
        <f t="shared" si="39"/>
        <v>0.188715596330275</v>
      </c>
      <c r="T138" s="115">
        <f t="shared" si="40"/>
        <v>0.22</v>
      </c>
      <c r="U138" s="116">
        <v>0.06</v>
      </c>
      <c r="V138" s="117">
        <f t="shared" si="41"/>
        <v>0.18</v>
      </c>
      <c r="W138" s="117" t="str">
        <f t="shared" si="42"/>
        <v/>
      </c>
      <c r="X138" s="129"/>
      <c r="Y138" s="126">
        <f t="shared" si="43"/>
        <v>0.208715596330275</v>
      </c>
      <c r="Z138" s="130">
        <v>5913040518</v>
      </c>
    </row>
    <row r="139" ht="24" spans="1:26">
      <c r="A139" s="129"/>
      <c r="B139" s="129"/>
      <c r="C139" s="90" t="s">
        <v>361</v>
      </c>
      <c r="D139" s="129"/>
      <c r="E139" s="130" t="s">
        <v>565</v>
      </c>
      <c r="F139" s="130" t="s">
        <v>671</v>
      </c>
      <c r="G139" s="130" t="s">
        <v>570</v>
      </c>
      <c r="H139" s="131">
        <v>45358</v>
      </c>
      <c r="I139" s="129"/>
      <c r="J139" s="135" t="s">
        <v>628</v>
      </c>
      <c r="K139" s="132">
        <v>2</v>
      </c>
      <c r="L139" s="136">
        <v>2725.66</v>
      </c>
      <c r="M139" s="137">
        <v>4424</v>
      </c>
      <c r="N139" s="98">
        <f t="shared" si="34"/>
        <v>1698.34</v>
      </c>
      <c r="O139" s="99">
        <f t="shared" si="35"/>
        <v>0.383892405063291</v>
      </c>
      <c r="P139" s="89">
        <f t="shared" si="36"/>
        <v>88.48</v>
      </c>
      <c r="Q139" s="113">
        <f t="shared" si="37"/>
        <v>176.96</v>
      </c>
      <c r="R139" s="58">
        <f t="shared" si="38"/>
        <v>0.02</v>
      </c>
      <c r="S139" s="114">
        <f t="shared" si="39"/>
        <v>0.363892405063291</v>
      </c>
      <c r="T139" s="115">
        <f t="shared" si="40"/>
        <v>0.22</v>
      </c>
      <c r="U139" s="116">
        <v>0.06</v>
      </c>
      <c r="V139" s="117">
        <f t="shared" si="41"/>
        <v>0.18</v>
      </c>
      <c r="W139" s="117" t="str">
        <f t="shared" si="42"/>
        <v/>
      </c>
      <c r="X139" s="129"/>
      <c r="Y139" s="126">
        <f t="shared" si="43"/>
        <v>0.383892405063291</v>
      </c>
      <c r="Z139" s="130">
        <v>5913070567</v>
      </c>
    </row>
    <row r="140" ht="36" spans="1:26">
      <c r="A140" s="129"/>
      <c r="B140" s="129"/>
      <c r="C140" s="90" t="s">
        <v>361</v>
      </c>
      <c r="D140" s="129"/>
      <c r="E140" s="130" t="s">
        <v>677</v>
      </c>
      <c r="F140" s="130" t="s">
        <v>671</v>
      </c>
      <c r="G140" s="130" t="s">
        <v>679</v>
      </c>
      <c r="H140" s="131">
        <v>45360</v>
      </c>
      <c r="I140" s="129"/>
      <c r="J140" s="135" t="s">
        <v>680</v>
      </c>
      <c r="K140" s="130">
        <v>2</v>
      </c>
      <c r="L140" s="136">
        <v>3828.32</v>
      </c>
      <c r="M140" s="138">
        <v>4945</v>
      </c>
      <c r="N140" s="98">
        <f t="shared" si="34"/>
        <v>1116.68</v>
      </c>
      <c r="O140" s="99">
        <f t="shared" si="35"/>
        <v>0.225820020222447</v>
      </c>
      <c r="P140" s="89">
        <f t="shared" si="36"/>
        <v>98.9</v>
      </c>
      <c r="Q140" s="113">
        <f t="shared" si="37"/>
        <v>197.8</v>
      </c>
      <c r="R140" s="58">
        <f t="shared" si="38"/>
        <v>0.02</v>
      </c>
      <c r="S140" s="114">
        <f t="shared" si="39"/>
        <v>0.205820020222447</v>
      </c>
      <c r="T140" s="115">
        <f t="shared" si="40"/>
        <v>0.22</v>
      </c>
      <c r="U140" s="116">
        <v>0.06</v>
      </c>
      <c r="V140" s="117">
        <f t="shared" si="41"/>
        <v>0.18</v>
      </c>
      <c r="W140" s="117" t="str">
        <f t="shared" si="42"/>
        <v/>
      </c>
      <c r="X140" s="129"/>
      <c r="Y140" s="126">
        <f t="shared" si="43"/>
        <v>0.225820020222447</v>
      </c>
      <c r="Z140" s="130">
        <v>5913093615</v>
      </c>
    </row>
    <row r="141" ht="24" spans="1:26">
      <c r="A141" s="129"/>
      <c r="B141" s="129"/>
      <c r="C141" s="90" t="s">
        <v>361</v>
      </c>
      <c r="D141" s="129"/>
      <c r="E141" s="130" t="s">
        <v>565</v>
      </c>
      <c r="F141" s="130" t="s">
        <v>671</v>
      </c>
      <c r="G141" s="132" t="s">
        <v>577</v>
      </c>
      <c r="H141" s="131">
        <v>45360</v>
      </c>
      <c r="I141" s="129"/>
      <c r="J141" s="135" t="s">
        <v>672</v>
      </c>
      <c r="K141" s="130">
        <v>3</v>
      </c>
      <c r="L141" s="136">
        <v>111.5</v>
      </c>
      <c r="M141" s="138">
        <v>148</v>
      </c>
      <c r="N141" s="98">
        <f t="shared" si="34"/>
        <v>36.5</v>
      </c>
      <c r="O141" s="99">
        <f t="shared" si="35"/>
        <v>0.246621621621622</v>
      </c>
      <c r="P141" s="89">
        <f t="shared" si="36"/>
        <v>2.96</v>
      </c>
      <c r="Q141" s="113">
        <f t="shared" si="37"/>
        <v>8.88</v>
      </c>
      <c r="R141" s="58">
        <f t="shared" si="38"/>
        <v>0.02</v>
      </c>
      <c r="S141" s="114">
        <f t="shared" si="39"/>
        <v>0.226621621621622</v>
      </c>
      <c r="T141" s="115">
        <f t="shared" si="40"/>
        <v>0.22</v>
      </c>
      <c r="U141" s="116">
        <v>0.06</v>
      </c>
      <c r="V141" s="117">
        <f t="shared" si="41"/>
        <v>0.18</v>
      </c>
      <c r="W141" s="117" t="str">
        <f t="shared" si="42"/>
        <v/>
      </c>
      <c r="X141" s="129"/>
      <c r="Y141" s="126">
        <f t="shared" si="43"/>
        <v>0.246621621621622</v>
      </c>
      <c r="Z141" s="132">
        <v>5913094234</v>
      </c>
    </row>
    <row r="142" ht="24" spans="1:26">
      <c r="A142" s="129"/>
      <c r="B142" s="129"/>
      <c r="C142" s="90" t="s">
        <v>361</v>
      </c>
      <c r="D142" s="129"/>
      <c r="E142" s="130" t="s">
        <v>565</v>
      </c>
      <c r="F142" s="132" t="s">
        <v>671</v>
      </c>
      <c r="G142" s="130" t="s">
        <v>570</v>
      </c>
      <c r="H142" s="131">
        <v>45360</v>
      </c>
      <c r="I142" s="129"/>
      <c r="J142" s="135" t="s">
        <v>599</v>
      </c>
      <c r="K142" s="130">
        <v>1</v>
      </c>
      <c r="L142" s="136">
        <v>3760.63</v>
      </c>
      <c r="M142" s="138">
        <v>4716</v>
      </c>
      <c r="N142" s="98">
        <f t="shared" si="34"/>
        <v>955.37</v>
      </c>
      <c r="O142" s="99">
        <f t="shared" si="35"/>
        <v>0.202580576759966</v>
      </c>
      <c r="P142" s="89">
        <f t="shared" si="36"/>
        <v>94.32</v>
      </c>
      <c r="Q142" s="113">
        <f t="shared" si="37"/>
        <v>94.32</v>
      </c>
      <c r="R142" s="58">
        <f t="shared" si="38"/>
        <v>0.02</v>
      </c>
      <c r="S142" s="114">
        <f t="shared" si="39"/>
        <v>0.182580576759966</v>
      </c>
      <c r="T142" s="115">
        <f t="shared" si="40"/>
        <v>0.22</v>
      </c>
      <c r="U142" s="116">
        <v>0.06</v>
      </c>
      <c r="V142" s="117">
        <f t="shared" si="41"/>
        <v>0.18</v>
      </c>
      <c r="W142" s="117" t="str">
        <f t="shared" si="42"/>
        <v/>
      </c>
      <c r="X142" s="129"/>
      <c r="Y142" s="126">
        <f t="shared" si="43"/>
        <v>0.202580576759966</v>
      </c>
      <c r="Z142" s="130">
        <v>5913093671</v>
      </c>
    </row>
    <row r="143" ht="36" spans="1:26">
      <c r="A143" s="129"/>
      <c r="B143" s="129"/>
      <c r="C143" s="90" t="s">
        <v>361</v>
      </c>
      <c r="D143" s="129"/>
      <c r="E143" s="130" t="s">
        <v>677</v>
      </c>
      <c r="F143" s="132" t="s">
        <v>671</v>
      </c>
      <c r="G143" s="130" t="s">
        <v>681</v>
      </c>
      <c r="H143" s="131">
        <v>45360</v>
      </c>
      <c r="I143" s="129"/>
      <c r="J143" s="135" t="s">
        <v>628</v>
      </c>
      <c r="K143" s="130">
        <v>1</v>
      </c>
      <c r="L143" s="136">
        <v>2725.66</v>
      </c>
      <c r="M143" s="138">
        <v>4424</v>
      </c>
      <c r="N143" s="98">
        <f t="shared" si="34"/>
        <v>1698.34</v>
      </c>
      <c r="O143" s="99">
        <f t="shared" si="35"/>
        <v>0.383892405063291</v>
      </c>
      <c r="P143" s="89">
        <f t="shared" si="36"/>
        <v>88.48</v>
      </c>
      <c r="Q143" s="113">
        <f t="shared" si="37"/>
        <v>88.48</v>
      </c>
      <c r="R143" s="58">
        <f t="shared" si="38"/>
        <v>0.02</v>
      </c>
      <c r="S143" s="114">
        <f t="shared" si="39"/>
        <v>0.363892405063291</v>
      </c>
      <c r="T143" s="115">
        <f t="shared" si="40"/>
        <v>0.22</v>
      </c>
      <c r="U143" s="116">
        <v>0.06</v>
      </c>
      <c r="V143" s="117">
        <f t="shared" si="41"/>
        <v>0.18</v>
      </c>
      <c r="W143" s="117" t="str">
        <f t="shared" si="42"/>
        <v/>
      </c>
      <c r="X143" s="129"/>
      <c r="Y143" s="126">
        <f t="shared" si="43"/>
        <v>0.383892405063291</v>
      </c>
      <c r="Z143" s="132">
        <v>5913093662</v>
      </c>
    </row>
    <row r="144" ht="24" spans="1:26">
      <c r="A144" s="129"/>
      <c r="B144" s="129"/>
      <c r="C144" s="90" t="s">
        <v>361</v>
      </c>
      <c r="D144" s="129"/>
      <c r="E144" s="130" t="s">
        <v>565</v>
      </c>
      <c r="F144" s="132" t="s">
        <v>671</v>
      </c>
      <c r="G144" s="130" t="s">
        <v>658</v>
      </c>
      <c r="H144" s="131">
        <v>45360</v>
      </c>
      <c r="I144" s="129"/>
      <c r="J144" s="135" t="s">
        <v>674</v>
      </c>
      <c r="K144" s="130">
        <v>1</v>
      </c>
      <c r="L144" s="136">
        <v>168.14</v>
      </c>
      <c r="M144" s="137">
        <v>245</v>
      </c>
      <c r="N144" s="98">
        <f t="shared" ref="N144:N185" si="44">M144-L144</f>
        <v>76.86</v>
      </c>
      <c r="O144" s="99">
        <f t="shared" ref="O144:O185" si="45">IF(AND($N144&lt;&gt;0,$M144&lt;&gt;0),$N144/$M144,"")</f>
        <v>0.313714285714286</v>
      </c>
      <c r="P144" s="89">
        <f t="shared" ref="P144:P185" si="46">M144*0.02</f>
        <v>4.9</v>
      </c>
      <c r="Q144" s="113">
        <f t="shared" ref="Q144:Q185" si="47">P144*K144</f>
        <v>4.9</v>
      </c>
      <c r="R144" s="58">
        <f t="shared" ref="R144:R185" si="48">IF(AND($P144&lt;&gt;0,$M144&lt;&gt;0),$P144/$M144,"")</f>
        <v>0.02</v>
      </c>
      <c r="S144" s="114">
        <f t="shared" ref="S144:S185" si="49">IF(AND(($N144*$K144-$Q144)&lt;&gt;0,($M144*$K144)&lt;&gt;0),($N144*$K144-$Q144)/($M144*$K144),"")</f>
        <v>0.293714285714286</v>
      </c>
      <c r="T144" s="115">
        <f t="shared" ref="T144:T185" si="50">IF($C144="深圳福达通",22%,IF($C144="康为",26%,IF($C144="新浪潮",26%,IF($C144="湖南飞英达",25%,IF($C144="志奋领",26%)))))</f>
        <v>0.22</v>
      </c>
      <c r="U144" s="116">
        <v>0.06</v>
      </c>
      <c r="V144" s="117">
        <f t="shared" ref="V144:V185" si="51">IF(T144-U144+R144&gt;0,T144-U144+R144,IF(T144-U144+R144=0,""))</f>
        <v>0.18</v>
      </c>
      <c r="W144" s="117" t="str">
        <f t="shared" ref="W144:W185" si="52">IF(S144-V144&lt;0,S144-V144,IF(S144-V144&gt;0,""))</f>
        <v/>
      </c>
      <c r="X144" s="129"/>
      <c r="Y144" s="126">
        <f t="shared" ref="Y144:Y185" si="53">IF(AND(($N144*$K144-$X144)&lt;&gt;0,($M144*$K144)&lt;&gt;0),($N144*$K144-$X144)/($M144*$K144),"")</f>
        <v>0.313714285714286</v>
      </c>
      <c r="Z144" s="130">
        <v>5913093660</v>
      </c>
    </row>
    <row r="145" ht="36" spans="1:26">
      <c r="A145" s="129"/>
      <c r="B145" s="129"/>
      <c r="C145" s="90" t="s">
        <v>361</v>
      </c>
      <c r="D145" s="129"/>
      <c r="E145" s="130" t="s">
        <v>677</v>
      </c>
      <c r="F145" s="132" t="s">
        <v>671</v>
      </c>
      <c r="G145" s="130" t="s">
        <v>568</v>
      </c>
      <c r="H145" s="131">
        <v>45360</v>
      </c>
      <c r="I145" s="129"/>
      <c r="J145" s="135" t="s">
        <v>605</v>
      </c>
      <c r="K145" s="130">
        <v>8</v>
      </c>
      <c r="L145" s="136">
        <v>1623.89</v>
      </c>
      <c r="M145" s="138">
        <v>2135</v>
      </c>
      <c r="N145" s="98">
        <f t="shared" si="44"/>
        <v>511.11</v>
      </c>
      <c r="O145" s="99">
        <f t="shared" si="45"/>
        <v>0.239395784543325</v>
      </c>
      <c r="P145" s="89">
        <f t="shared" si="46"/>
        <v>42.7</v>
      </c>
      <c r="Q145" s="113">
        <f t="shared" si="47"/>
        <v>341.6</v>
      </c>
      <c r="R145" s="58">
        <f t="shared" si="48"/>
        <v>0.02</v>
      </c>
      <c r="S145" s="114">
        <f t="shared" si="49"/>
        <v>0.219395784543325</v>
      </c>
      <c r="T145" s="115">
        <f t="shared" si="50"/>
        <v>0.22</v>
      </c>
      <c r="U145" s="116">
        <v>0.06</v>
      </c>
      <c r="V145" s="117">
        <f t="shared" si="51"/>
        <v>0.18</v>
      </c>
      <c r="W145" s="117" t="str">
        <f t="shared" si="52"/>
        <v/>
      </c>
      <c r="X145" s="129"/>
      <c r="Y145" s="126">
        <f t="shared" si="53"/>
        <v>0.239395784543325</v>
      </c>
      <c r="Z145" s="130">
        <v>5913093621</v>
      </c>
    </row>
    <row r="146" ht="36" spans="1:26">
      <c r="A146" s="129"/>
      <c r="B146" s="129"/>
      <c r="C146" s="90" t="s">
        <v>361</v>
      </c>
      <c r="D146" s="129"/>
      <c r="E146" s="130" t="s">
        <v>677</v>
      </c>
      <c r="F146" s="132" t="s">
        <v>671</v>
      </c>
      <c r="G146" s="130" t="s">
        <v>568</v>
      </c>
      <c r="H146" s="131">
        <v>45360</v>
      </c>
      <c r="I146" s="129"/>
      <c r="J146" s="135" t="s">
        <v>594</v>
      </c>
      <c r="K146" s="130">
        <v>8</v>
      </c>
      <c r="L146" s="136">
        <v>1955.75</v>
      </c>
      <c r="M146" s="138">
        <v>2135</v>
      </c>
      <c r="N146" s="98">
        <f t="shared" si="44"/>
        <v>179.25</v>
      </c>
      <c r="O146" s="99">
        <f t="shared" si="45"/>
        <v>0.0839578454332553</v>
      </c>
      <c r="P146" s="89">
        <f t="shared" si="46"/>
        <v>42.7</v>
      </c>
      <c r="Q146" s="113">
        <f t="shared" si="47"/>
        <v>341.6</v>
      </c>
      <c r="R146" s="58">
        <f t="shared" si="48"/>
        <v>0.02</v>
      </c>
      <c r="S146" s="114">
        <f t="shared" si="49"/>
        <v>0.0639578454332553</v>
      </c>
      <c r="T146" s="115">
        <f t="shared" si="50"/>
        <v>0.22</v>
      </c>
      <c r="U146" s="116">
        <v>0.06</v>
      </c>
      <c r="V146" s="117">
        <f t="shared" si="51"/>
        <v>0.18</v>
      </c>
      <c r="W146" s="117">
        <f t="shared" si="52"/>
        <v>-0.116042154566745</v>
      </c>
      <c r="X146" s="129"/>
      <c r="Y146" s="126">
        <f t="shared" si="53"/>
        <v>0.0839578454332553</v>
      </c>
      <c r="Z146" s="130">
        <v>5913093621</v>
      </c>
    </row>
    <row r="147" ht="36" spans="1:26">
      <c r="A147" s="129"/>
      <c r="B147" s="129"/>
      <c r="C147" s="90" t="s">
        <v>361</v>
      </c>
      <c r="D147" s="129"/>
      <c r="E147" s="130" t="s">
        <v>677</v>
      </c>
      <c r="F147" s="130" t="s">
        <v>671</v>
      </c>
      <c r="G147" s="132" t="s">
        <v>679</v>
      </c>
      <c r="H147" s="131">
        <v>45363</v>
      </c>
      <c r="I147" s="129"/>
      <c r="J147" s="135" t="s">
        <v>682</v>
      </c>
      <c r="K147" s="130">
        <v>1</v>
      </c>
      <c r="L147" s="136">
        <v>973.45</v>
      </c>
      <c r="M147" s="137">
        <v>1978</v>
      </c>
      <c r="N147" s="98">
        <f t="shared" si="44"/>
        <v>1004.55</v>
      </c>
      <c r="O147" s="99">
        <f t="shared" si="45"/>
        <v>0.507861476238625</v>
      </c>
      <c r="P147" s="89">
        <f t="shared" si="46"/>
        <v>39.56</v>
      </c>
      <c r="Q147" s="113">
        <f t="shared" si="47"/>
        <v>39.56</v>
      </c>
      <c r="R147" s="58">
        <f t="shared" si="48"/>
        <v>0.02</v>
      </c>
      <c r="S147" s="114">
        <f t="shared" si="49"/>
        <v>0.487861476238625</v>
      </c>
      <c r="T147" s="115">
        <f t="shared" si="50"/>
        <v>0.22</v>
      </c>
      <c r="U147" s="116">
        <v>0.06</v>
      </c>
      <c r="V147" s="117">
        <f t="shared" si="51"/>
        <v>0.18</v>
      </c>
      <c r="W147" s="117" t="str">
        <f t="shared" si="52"/>
        <v/>
      </c>
      <c r="X147" s="129"/>
      <c r="Y147" s="126">
        <f t="shared" si="53"/>
        <v>0.507861476238625</v>
      </c>
      <c r="Z147" s="130">
        <v>5912653618</v>
      </c>
    </row>
    <row r="148" ht="36" spans="1:26">
      <c r="A148" s="129"/>
      <c r="B148" s="129"/>
      <c r="C148" s="90" t="s">
        <v>361</v>
      </c>
      <c r="D148" s="129"/>
      <c r="E148" s="130" t="s">
        <v>677</v>
      </c>
      <c r="F148" s="130" t="s">
        <v>671</v>
      </c>
      <c r="G148" s="130" t="s">
        <v>658</v>
      </c>
      <c r="H148" s="131">
        <v>45363</v>
      </c>
      <c r="I148" s="129"/>
      <c r="J148" s="135" t="s">
        <v>674</v>
      </c>
      <c r="K148" s="130">
        <v>1</v>
      </c>
      <c r="L148" s="136">
        <v>168.14</v>
      </c>
      <c r="M148" s="137">
        <v>245</v>
      </c>
      <c r="N148" s="98">
        <f t="shared" si="44"/>
        <v>76.86</v>
      </c>
      <c r="O148" s="99">
        <f t="shared" si="45"/>
        <v>0.313714285714286</v>
      </c>
      <c r="P148" s="89">
        <f t="shared" si="46"/>
        <v>4.9</v>
      </c>
      <c r="Q148" s="113">
        <f t="shared" si="47"/>
        <v>4.9</v>
      </c>
      <c r="R148" s="58">
        <f t="shared" si="48"/>
        <v>0.02</v>
      </c>
      <c r="S148" s="114">
        <f t="shared" si="49"/>
        <v>0.293714285714286</v>
      </c>
      <c r="T148" s="115">
        <f t="shared" si="50"/>
        <v>0.22</v>
      </c>
      <c r="U148" s="116">
        <v>0.06</v>
      </c>
      <c r="V148" s="117">
        <f t="shared" si="51"/>
        <v>0.18</v>
      </c>
      <c r="W148" s="117" t="str">
        <f t="shared" si="52"/>
        <v/>
      </c>
      <c r="X148" s="129"/>
      <c r="Y148" s="126">
        <f t="shared" si="53"/>
        <v>0.313714285714286</v>
      </c>
      <c r="Z148" s="130">
        <v>5913133603</v>
      </c>
    </row>
    <row r="149" ht="24" spans="1:26">
      <c r="A149" s="129"/>
      <c r="B149" s="129"/>
      <c r="C149" s="90" t="s">
        <v>361</v>
      </c>
      <c r="D149" s="129"/>
      <c r="E149" s="130" t="s">
        <v>565</v>
      </c>
      <c r="F149" s="130" t="s">
        <v>671</v>
      </c>
      <c r="G149" s="130" t="s">
        <v>658</v>
      </c>
      <c r="H149" s="131">
        <v>45364</v>
      </c>
      <c r="I149" s="129"/>
      <c r="J149" s="135" t="s">
        <v>674</v>
      </c>
      <c r="K149" s="130">
        <v>1</v>
      </c>
      <c r="L149" s="136">
        <v>168.14</v>
      </c>
      <c r="M149" s="137">
        <v>245</v>
      </c>
      <c r="N149" s="98">
        <f t="shared" si="44"/>
        <v>76.86</v>
      </c>
      <c r="O149" s="99">
        <f t="shared" si="45"/>
        <v>0.313714285714286</v>
      </c>
      <c r="P149" s="89">
        <f t="shared" si="46"/>
        <v>4.9</v>
      </c>
      <c r="Q149" s="113">
        <f t="shared" si="47"/>
        <v>4.9</v>
      </c>
      <c r="R149" s="58">
        <f t="shared" si="48"/>
        <v>0.02</v>
      </c>
      <c r="S149" s="114">
        <f t="shared" si="49"/>
        <v>0.293714285714286</v>
      </c>
      <c r="T149" s="115">
        <f t="shared" si="50"/>
        <v>0.22</v>
      </c>
      <c r="U149" s="116">
        <v>0.06</v>
      </c>
      <c r="V149" s="117">
        <f t="shared" si="51"/>
        <v>0.18</v>
      </c>
      <c r="W149" s="117" t="str">
        <f t="shared" si="52"/>
        <v/>
      </c>
      <c r="X149" s="129"/>
      <c r="Y149" s="126">
        <f t="shared" si="53"/>
        <v>0.313714285714286</v>
      </c>
      <c r="Z149" s="130">
        <v>5913133209</v>
      </c>
    </row>
    <row r="150" ht="24" spans="1:26">
      <c r="A150" s="129"/>
      <c r="B150" s="129"/>
      <c r="C150" s="90" t="s">
        <v>361</v>
      </c>
      <c r="D150" s="129"/>
      <c r="E150" s="130" t="s">
        <v>565</v>
      </c>
      <c r="F150" s="130" t="s">
        <v>671</v>
      </c>
      <c r="G150" s="130" t="s">
        <v>679</v>
      </c>
      <c r="H150" s="131">
        <v>45363</v>
      </c>
      <c r="I150" s="129"/>
      <c r="J150" s="160" t="s">
        <v>682</v>
      </c>
      <c r="K150" s="130">
        <v>1</v>
      </c>
      <c r="L150" s="136">
        <v>973.45</v>
      </c>
      <c r="M150" s="137">
        <v>1978</v>
      </c>
      <c r="N150" s="98">
        <f t="shared" si="44"/>
        <v>1004.55</v>
      </c>
      <c r="O150" s="99">
        <f t="shared" si="45"/>
        <v>0.507861476238625</v>
      </c>
      <c r="P150" s="89">
        <f t="shared" si="46"/>
        <v>39.56</v>
      </c>
      <c r="Q150" s="113">
        <f t="shared" si="47"/>
        <v>39.56</v>
      </c>
      <c r="R150" s="58">
        <f t="shared" si="48"/>
        <v>0.02</v>
      </c>
      <c r="S150" s="114">
        <f t="shared" si="49"/>
        <v>0.487861476238625</v>
      </c>
      <c r="T150" s="115">
        <f t="shared" si="50"/>
        <v>0.22</v>
      </c>
      <c r="U150" s="116">
        <v>0.06</v>
      </c>
      <c r="V150" s="117">
        <f t="shared" si="51"/>
        <v>0.18</v>
      </c>
      <c r="W150" s="117" t="str">
        <f t="shared" si="52"/>
        <v/>
      </c>
      <c r="X150" s="129"/>
      <c r="Y150" s="126">
        <f t="shared" si="53"/>
        <v>0.507861476238625</v>
      </c>
      <c r="Z150" s="162">
        <v>5913117858</v>
      </c>
    </row>
    <row r="151" ht="36" spans="1:26">
      <c r="A151" s="129"/>
      <c r="B151" s="129"/>
      <c r="C151" s="90" t="s">
        <v>361</v>
      </c>
      <c r="D151" s="129"/>
      <c r="E151" s="130" t="s">
        <v>677</v>
      </c>
      <c r="F151" s="130" t="s">
        <v>671</v>
      </c>
      <c r="G151" s="130" t="s">
        <v>683</v>
      </c>
      <c r="H151" s="131">
        <v>45366</v>
      </c>
      <c r="I151" s="129"/>
      <c r="J151" s="135" t="s">
        <v>608</v>
      </c>
      <c r="K151" s="130">
        <v>1</v>
      </c>
      <c r="L151" s="136">
        <v>1699.12</v>
      </c>
      <c r="M151" s="137">
        <v>2450</v>
      </c>
      <c r="N151" s="98">
        <f t="shared" si="44"/>
        <v>750.88</v>
      </c>
      <c r="O151" s="99">
        <f t="shared" si="45"/>
        <v>0.306481632653061</v>
      </c>
      <c r="P151" s="89">
        <f t="shared" si="46"/>
        <v>49</v>
      </c>
      <c r="Q151" s="113">
        <f t="shared" si="47"/>
        <v>49</v>
      </c>
      <c r="R151" s="58">
        <f t="shared" si="48"/>
        <v>0.02</v>
      </c>
      <c r="S151" s="114">
        <f t="shared" si="49"/>
        <v>0.286481632653061</v>
      </c>
      <c r="T151" s="115">
        <f t="shared" si="50"/>
        <v>0.22</v>
      </c>
      <c r="U151" s="116">
        <v>0.06</v>
      </c>
      <c r="V151" s="117">
        <f t="shared" si="51"/>
        <v>0.18</v>
      </c>
      <c r="W151" s="117" t="str">
        <f t="shared" si="52"/>
        <v/>
      </c>
      <c r="X151" s="129"/>
      <c r="Y151" s="126">
        <f t="shared" si="53"/>
        <v>0.306481632653061</v>
      </c>
      <c r="Z151" s="130">
        <v>5913163288</v>
      </c>
    </row>
    <row r="152" ht="36" spans="1:26">
      <c r="A152" s="129"/>
      <c r="B152" s="129"/>
      <c r="C152" s="90" t="s">
        <v>361</v>
      </c>
      <c r="D152" s="129"/>
      <c r="E152" s="130" t="s">
        <v>677</v>
      </c>
      <c r="F152" s="130" t="s">
        <v>671</v>
      </c>
      <c r="G152" s="130" t="s">
        <v>591</v>
      </c>
      <c r="H152" s="131">
        <v>45369</v>
      </c>
      <c r="I152" s="129"/>
      <c r="J152" s="135" t="s">
        <v>684</v>
      </c>
      <c r="K152" s="130">
        <v>6</v>
      </c>
      <c r="L152" s="136">
        <v>2711.77</v>
      </c>
      <c r="M152" s="137">
        <v>3155</v>
      </c>
      <c r="N152" s="98">
        <f t="shared" si="44"/>
        <v>443.23</v>
      </c>
      <c r="O152" s="99">
        <f t="shared" si="45"/>
        <v>0.140484944532488</v>
      </c>
      <c r="P152" s="89">
        <f t="shared" si="46"/>
        <v>63.1</v>
      </c>
      <c r="Q152" s="113">
        <f t="shared" si="47"/>
        <v>378.6</v>
      </c>
      <c r="R152" s="58">
        <f t="shared" si="48"/>
        <v>0.02</v>
      </c>
      <c r="S152" s="114">
        <f t="shared" si="49"/>
        <v>0.120484944532488</v>
      </c>
      <c r="T152" s="115">
        <f t="shared" si="50"/>
        <v>0.22</v>
      </c>
      <c r="U152" s="116">
        <v>0.06</v>
      </c>
      <c r="V152" s="117">
        <f t="shared" si="51"/>
        <v>0.18</v>
      </c>
      <c r="W152" s="117">
        <f t="shared" si="52"/>
        <v>-0.0595150554675119</v>
      </c>
      <c r="X152" s="129"/>
      <c r="Y152" s="126">
        <f t="shared" si="53"/>
        <v>0.140484944532488</v>
      </c>
      <c r="Z152" s="130">
        <v>5913184299</v>
      </c>
    </row>
    <row r="153" ht="24" spans="1:26">
      <c r="A153" s="129"/>
      <c r="B153" s="129"/>
      <c r="C153" s="90" t="s">
        <v>361</v>
      </c>
      <c r="D153" s="129"/>
      <c r="E153" s="130" t="s">
        <v>565</v>
      </c>
      <c r="F153" s="130" t="s">
        <v>671</v>
      </c>
      <c r="G153" s="130" t="s">
        <v>685</v>
      </c>
      <c r="H153" s="131">
        <v>45369</v>
      </c>
      <c r="I153" s="129"/>
      <c r="J153" s="135" t="s">
        <v>686</v>
      </c>
      <c r="K153" s="130">
        <v>1</v>
      </c>
      <c r="L153" s="136">
        <v>1575.22</v>
      </c>
      <c r="M153" s="137">
        <v>2645</v>
      </c>
      <c r="N153" s="98">
        <f t="shared" si="44"/>
        <v>1069.78</v>
      </c>
      <c r="O153" s="99">
        <f t="shared" si="45"/>
        <v>0.404453686200378</v>
      </c>
      <c r="P153" s="89">
        <f t="shared" si="46"/>
        <v>52.9</v>
      </c>
      <c r="Q153" s="113">
        <f t="shared" si="47"/>
        <v>52.9</v>
      </c>
      <c r="R153" s="58">
        <f t="shared" si="48"/>
        <v>0.02</v>
      </c>
      <c r="S153" s="114">
        <f t="shared" si="49"/>
        <v>0.384453686200378</v>
      </c>
      <c r="T153" s="115">
        <f t="shared" si="50"/>
        <v>0.22</v>
      </c>
      <c r="U153" s="116">
        <v>0.06</v>
      </c>
      <c r="V153" s="117">
        <f t="shared" si="51"/>
        <v>0.18</v>
      </c>
      <c r="W153" s="117" t="str">
        <f t="shared" si="52"/>
        <v/>
      </c>
      <c r="X153" s="129"/>
      <c r="Y153" s="126">
        <f t="shared" si="53"/>
        <v>0.404453686200378</v>
      </c>
      <c r="Z153" s="130">
        <v>5913184308</v>
      </c>
    </row>
    <row r="154" ht="36" spans="1:26">
      <c r="A154" s="129"/>
      <c r="B154" s="129"/>
      <c r="C154" s="90" t="s">
        <v>361</v>
      </c>
      <c r="D154" s="129"/>
      <c r="E154" s="130" t="s">
        <v>677</v>
      </c>
      <c r="F154" s="130" t="s">
        <v>671</v>
      </c>
      <c r="G154" s="130" t="s">
        <v>570</v>
      </c>
      <c r="H154" s="131">
        <v>45369</v>
      </c>
      <c r="I154" s="129"/>
      <c r="J154" s="135" t="s">
        <v>687</v>
      </c>
      <c r="K154" s="130">
        <v>1</v>
      </c>
      <c r="L154" s="136">
        <v>2777.95</v>
      </c>
      <c r="M154" s="137">
        <v>3247</v>
      </c>
      <c r="N154" s="98">
        <f t="shared" si="44"/>
        <v>469.05</v>
      </c>
      <c r="O154" s="99">
        <f t="shared" si="45"/>
        <v>0.14445642131198</v>
      </c>
      <c r="P154" s="89">
        <f t="shared" si="46"/>
        <v>64.94</v>
      </c>
      <c r="Q154" s="113">
        <f t="shared" si="47"/>
        <v>64.94</v>
      </c>
      <c r="R154" s="58">
        <f t="shared" si="48"/>
        <v>0.02</v>
      </c>
      <c r="S154" s="114">
        <f t="shared" si="49"/>
        <v>0.12445642131198</v>
      </c>
      <c r="T154" s="115">
        <f t="shared" si="50"/>
        <v>0.22</v>
      </c>
      <c r="U154" s="116">
        <v>0.06</v>
      </c>
      <c r="V154" s="117">
        <f t="shared" si="51"/>
        <v>0.18</v>
      </c>
      <c r="W154" s="117">
        <f t="shared" si="52"/>
        <v>-0.0555435786880197</v>
      </c>
      <c r="X154" s="129"/>
      <c r="Y154" s="126">
        <f t="shared" si="53"/>
        <v>0.14445642131198</v>
      </c>
      <c r="Z154" s="130">
        <v>5913184305</v>
      </c>
    </row>
    <row r="155" ht="36" spans="1:26">
      <c r="A155" s="129"/>
      <c r="B155" s="129"/>
      <c r="C155" s="90" t="s">
        <v>361</v>
      </c>
      <c r="D155" s="129"/>
      <c r="E155" s="130" t="s">
        <v>677</v>
      </c>
      <c r="F155" s="130" t="s">
        <v>671</v>
      </c>
      <c r="G155" s="132" t="s">
        <v>595</v>
      </c>
      <c r="H155" s="131">
        <v>45369</v>
      </c>
      <c r="I155" s="129"/>
      <c r="J155" s="135" t="s">
        <v>615</v>
      </c>
      <c r="K155" s="130">
        <v>10</v>
      </c>
      <c r="L155" s="136">
        <v>1902.65</v>
      </c>
      <c r="M155" s="138">
        <v>2378</v>
      </c>
      <c r="N155" s="98">
        <f t="shared" si="44"/>
        <v>475.35</v>
      </c>
      <c r="O155" s="99">
        <f t="shared" si="45"/>
        <v>0.199894869638352</v>
      </c>
      <c r="P155" s="89">
        <f t="shared" si="46"/>
        <v>47.56</v>
      </c>
      <c r="Q155" s="113">
        <f t="shared" si="47"/>
        <v>475.6</v>
      </c>
      <c r="R155" s="58">
        <f t="shared" si="48"/>
        <v>0.02</v>
      </c>
      <c r="S155" s="114">
        <f t="shared" si="49"/>
        <v>0.179894869638351</v>
      </c>
      <c r="T155" s="115">
        <f t="shared" si="50"/>
        <v>0.22</v>
      </c>
      <c r="U155" s="116">
        <v>0.06</v>
      </c>
      <c r="V155" s="117">
        <f t="shared" si="51"/>
        <v>0.18</v>
      </c>
      <c r="W155" s="117">
        <f t="shared" si="52"/>
        <v>-0.000105130361648498</v>
      </c>
      <c r="X155" s="129"/>
      <c r="Y155" s="126">
        <f t="shared" si="53"/>
        <v>0.199894869638352</v>
      </c>
      <c r="Z155" s="130">
        <v>5913184304</v>
      </c>
    </row>
    <row r="156" ht="24" spans="1:26">
      <c r="A156" s="129"/>
      <c r="B156" s="129"/>
      <c r="C156" s="90" t="s">
        <v>361</v>
      </c>
      <c r="D156" s="129"/>
      <c r="E156" s="130" t="s">
        <v>565</v>
      </c>
      <c r="F156" s="130" t="s">
        <v>671</v>
      </c>
      <c r="G156" s="132" t="s">
        <v>556</v>
      </c>
      <c r="H156" s="131">
        <v>45373</v>
      </c>
      <c r="I156" s="129"/>
      <c r="J156" s="135" t="s">
        <v>688</v>
      </c>
      <c r="K156" s="130">
        <v>6</v>
      </c>
      <c r="L156" s="136">
        <v>380.53</v>
      </c>
      <c r="M156" s="138">
        <v>458</v>
      </c>
      <c r="N156" s="98">
        <f t="shared" si="44"/>
        <v>77.47</v>
      </c>
      <c r="O156" s="99">
        <f t="shared" si="45"/>
        <v>0.169148471615721</v>
      </c>
      <c r="P156" s="89">
        <f t="shared" si="46"/>
        <v>9.16</v>
      </c>
      <c r="Q156" s="113">
        <f t="shared" si="47"/>
        <v>54.96</v>
      </c>
      <c r="R156" s="58">
        <f t="shared" si="48"/>
        <v>0.02</v>
      </c>
      <c r="S156" s="114">
        <f t="shared" si="49"/>
        <v>0.149148471615721</v>
      </c>
      <c r="T156" s="115">
        <f t="shared" si="50"/>
        <v>0.22</v>
      </c>
      <c r="U156" s="116">
        <v>0.06</v>
      </c>
      <c r="V156" s="117">
        <f t="shared" si="51"/>
        <v>0.18</v>
      </c>
      <c r="W156" s="117">
        <f t="shared" si="52"/>
        <v>-0.0308515283842794</v>
      </c>
      <c r="X156" s="129"/>
      <c r="Y156" s="126">
        <f t="shared" si="53"/>
        <v>0.169148471615721</v>
      </c>
      <c r="Z156" s="130">
        <v>5913237949</v>
      </c>
    </row>
    <row r="157" ht="24" spans="1:26">
      <c r="A157" s="129"/>
      <c r="B157" s="129"/>
      <c r="C157" s="90" t="s">
        <v>361</v>
      </c>
      <c r="D157" s="129"/>
      <c r="E157" s="130" t="s">
        <v>565</v>
      </c>
      <c r="F157" s="130" t="s">
        <v>671</v>
      </c>
      <c r="G157" s="157" t="s">
        <v>658</v>
      </c>
      <c r="H157" s="131">
        <v>45372</v>
      </c>
      <c r="I157" s="129"/>
      <c r="J157" s="135" t="s">
        <v>674</v>
      </c>
      <c r="K157" s="130">
        <v>2</v>
      </c>
      <c r="L157" s="136">
        <v>168.14</v>
      </c>
      <c r="M157" s="138">
        <v>245</v>
      </c>
      <c r="N157" s="98">
        <f t="shared" si="44"/>
        <v>76.86</v>
      </c>
      <c r="O157" s="99">
        <f t="shared" si="45"/>
        <v>0.313714285714286</v>
      </c>
      <c r="P157" s="89">
        <f t="shared" si="46"/>
        <v>4.9</v>
      </c>
      <c r="Q157" s="113">
        <f t="shared" si="47"/>
        <v>9.8</v>
      </c>
      <c r="R157" s="58">
        <f t="shared" si="48"/>
        <v>0.02</v>
      </c>
      <c r="S157" s="114">
        <f t="shared" si="49"/>
        <v>0.293714285714286</v>
      </c>
      <c r="T157" s="115">
        <f t="shared" si="50"/>
        <v>0.22</v>
      </c>
      <c r="U157" s="116">
        <v>0.06</v>
      </c>
      <c r="V157" s="117">
        <f t="shared" si="51"/>
        <v>0.18</v>
      </c>
      <c r="W157" s="117" t="str">
        <f t="shared" si="52"/>
        <v/>
      </c>
      <c r="X157" s="129"/>
      <c r="Y157" s="126">
        <f t="shared" si="53"/>
        <v>0.313714285714286</v>
      </c>
      <c r="Z157" s="130">
        <v>5913225471</v>
      </c>
    </row>
    <row r="158" ht="24" spans="1:26">
      <c r="A158" s="129"/>
      <c r="B158" s="129"/>
      <c r="C158" s="90" t="s">
        <v>361</v>
      </c>
      <c r="D158" s="129"/>
      <c r="E158" s="130" t="s">
        <v>565</v>
      </c>
      <c r="F158" s="130" t="s">
        <v>671</v>
      </c>
      <c r="G158" s="132" t="s">
        <v>689</v>
      </c>
      <c r="H158" s="131">
        <v>45373</v>
      </c>
      <c r="I158" s="129"/>
      <c r="J158" s="135" t="s">
        <v>641</v>
      </c>
      <c r="K158" s="130">
        <v>10</v>
      </c>
      <c r="L158" s="136">
        <v>11.93</v>
      </c>
      <c r="M158" s="138">
        <v>20</v>
      </c>
      <c r="N158" s="98">
        <f t="shared" si="44"/>
        <v>8.07</v>
      </c>
      <c r="O158" s="99">
        <f t="shared" si="45"/>
        <v>0.4035</v>
      </c>
      <c r="P158" s="89">
        <f t="shared" si="46"/>
        <v>0.4</v>
      </c>
      <c r="Q158" s="113">
        <f t="shared" si="47"/>
        <v>4</v>
      </c>
      <c r="R158" s="58">
        <f t="shared" si="48"/>
        <v>0.02</v>
      </c>
      <c r="S158" s="114">
        <f t="shared" si="49"/>
        <v>0.3835</v>
      </c>
      <c r="T158" s="115">
        <f t="shared" si="50"/>
        <v>0.22</v>
      </c>
      <c r="U158" s="116">
        <v>0.06</v>
      </c>
      <c r="V158" s="117">
        <f t="shared" si="51"/>
        <v>0.18</v>
      </c>
      <c r="W158" s="117" t="str">
        <f t="shared" si="52"/>
        <v/>
      </c>
      <c r="X158" s="129"/>
      <c r="Y158" s="126">
        <f t="shared" si="53"/>
        <v>0.4035</v>
      </c>
      <c r="Z158" s="130">
        <v>5913225675</v>
      </c>
    </row>
    <row r="159" ht="24" spans="1:26">
      <c r="A159" s="129"/>
      <c r="B159" s="129"/>
      <c r="C159" s="90" t="s">
        <v>361</v>
      </c>
      <c r="D159" s="129"/>
      <c r="E159" s="130" t="s">
        <v>565</v>
      </c>
      <c r="F159" s="130" t="s">
        <v>671</v>
      </c>
      <c r="G159" s="132" t="s">
        <v>112</v>
      </c>
      <c r="H159" s="131">
        <v>45372</v>
      </c>
      <c r="I159" s="129"/>
      <c r="J159" s="135" t="s">
        <v>690</v>
      </c>
      <c r="K159" s="130">
        <v>1</v>
      </c>
      <c r="L159" s="136">
        <v>3256.64</v>
      </c>
      <c r="M159" s="138">
        <v>5275</v>
      </c>
      <c r="N159" s="98">
        <f t="shared" si="44"/>
        <v>2018.36</v>
      </c>
      <c r="O159" s="99">
        <f t="shared" si="45"/>
        <v>0.382627488151659</v>
      </c>
      <c r="P159" s="89">
        <f t="shared" si="46"/>
        <v>105.5</v>
      </c>
      <c r="Q159" s="113">
        <f t="shared" si="47"/>
        <v>105.5</v>
      </c>
      <c r="R159" s="58">
        <f t="shared" si="48"/>
        <v>0.02</v>
      </c>
      <c r="S159" s="114">
        <f t="shared" si="49"/>
        <v>0.362627488151659</v>
      </c>
      <c r="T159" s="115">
        <f t="shared" si="50"/>
        <v>0.22</v>
      </c>
      <c r="U159" s="116">
        <v>0.06</v>
      </c>
      <c r="V159" s="117">
        <f t="shared" si="51"/>
        <v>0.18</v>
      </c>
      <c r="W159" s="117" t="str">
        <f t="shared" si="52"/>
        <v/>
      </c>
      <c r="X159" s="129"/>
      <c r="Y159" s="126">
        <f t="shared" si="53"/>
        <v>0.382627488151659</v>
      </c>
      <c r="Z159" s="130">
        <v>5913221559</v>
      </c>
    </row>
    <row r="160" ht="24" spans="1:26">
      <c r="A160" s="129"/>
      <c r="B160" s="129"/>
      <c r="C160" s="90" t="s">
        <v>361</v>
      </c>
      <c r="D160" s="129"/>
      <c r="E160" s="130" t="s">
        <v>565</v>
      </c>
      <c r="F160" s="130" t="s">
        <v>671</v>
      </c>
      <c r="G160" s="132" t="s">
        <v>568</v>
      </c>
      <c r="H160" s="131">
        <v>45374</v>
      </c>
      <c r="I160" s="129"/>
      <c r="J160" s="135" t="s">
        <v>691</v>
      </c>
      <c r="K160" s="130">
        <v>10</v>
      </c>
      <c r="L160" s="136">
        <v>43.36</v>
      </c>
      <c r="M160" s="138">
        <v>88</v>
      </c>
      <c r="N160" s="98">
        <f t="shared" si="44"/>
        <v>44.64</v>
      </c>
      <c r="O160" s="99">
        <f t="shared" si="45"/>
        <v>0.507272727272727</v>
      </c>
      <c r="P160" s="89">
        <f t="shared" si="46"/>
        <v>1.76</v>
      </c>
      <c r="Q160" s="113">
        <f t="shared" si="47"/>
        <v>17.6</v>
      </c>
      <c r="R160" s="58">
        <f t="shared" si="48"/>
        <v>0.02</v>
      </c>
      <c r="S160" s="114">
        <f t="shared" si="49"/>
        <v>0.487272727272727</v>
      </c>
      <c r="T160" s="115">
        <f t="shared" si="50"/>
        <v>0.22</v>
      </c>
      <c r="U160" s="116">
        <v>0.06</v>
      </c>
      <c r="V160" s="117">
        <f t="shared" si="51"/>
        <v>0.18</v>
      </c>
      <c r="W160" s="117" t="str">
        <f t="shared" si="52"/>
        <v/>
      </c>
      <c r="X160" s="129"/>
      <c r="Y160" s="126">
        <f t="shared" si="53"/>
        <v>0.507272727272727</v>
      </c>
      <c r="Z160" s="130">
        <v>5913253843</v>
      </c>
    </row>
    <row r="161" ht="24" spans="1:26">
      <c r="A161" s="129"/>
      <c r="B161" s="129"/>
      <c r="C161" s="90" t="s">
        <v>361</v>
      </c>
      <c r="D161" s="129"/>
      <c r="E161" s="134" t="s">
        <v>565</v>
      </c>
      <c r="F161" s="130" t="s">
        <v>671</v>
      </c>
      <c r="G161" s="29" t="s">
        <v>631</v>
      </c>
      <c r="H161" s="131">
        <v>45374</v>
      </c>
      <c r="I161" s="129"/>
      <c r="J161" s="40" t="s">
        <v>692</v>
      </c>
      <c r="K161" s="134">
        <v>17</v>
      </c>
      <c r="L161" s="136">
        <v>2692.64</v>
      </c>
      <c r="M161" s="137">
        <v>3248</v>
      </c>
      <c r="N161" s="98">
        <f t="shared" si="44"/>
        <v>555.36</v>
      </c>
      <c r="O161" s="99">
        <f t="shared" si="45"/>
        <v>0.170985221674877</v>
      </c>
      <c r="P161" s="89">
        <f t="shared" si="46"/>
        <v>64.96</v>
      </c>
      <c r="Q161" s="113">
        <f t="shared" si="47"/>
        <v>1104.32</v>
      </c>
      <c r="R161" s="58">
        <f t="shared" si="48"/>
        <v>0.02</v>
      </c>
      <c r="S161" s="114">
        <f t="shared" si="49"/>
        <v>0.150985221674877</v>
      </c>
      <c r="T161" s="115">
        <f t="shared" si="50"/>
        <v>0.22</v>
      </c>
      <c r="U161" s="116">
        <v>0.06</v>
      </c>
      <c r="V161" s="117">
        <f t="shared" si="51"/>
        <v>0.18</v>
      </c>
      <c r="W161" s="117">
        <f t="shared" si="52"/>
        <v>-0.0290147783251231</v>
      </c>
      <c r="X161" s="129"/>
      <c r="Y161" s="126">
        <f t="shared" si="53"/>
        <v>0.170985221674877</v>
      </c>
      <c r="Z161" s="134">
        <v>5913254384</v>
      </c>
    </row>
    <row r="162" ht="24" spans="1:26">
      <c r="A162" s="129"/>
      <c r="B162" s="129"/>
      <c r="C162" s="90" t="s">
        <v>361</v>
      </c>
      <c r="D162" s="129"/>
      <c r="E162" s="134" t="s">
        <v>565</v>
      </c>
      <c r="F162" s="130" t="s">
        <v>671</v>
      </c>
      <c r="G162" s="29" t="s">
        <v>631</v>
      </c>
      <c r="H162" s="131">
        <v>45374</v>
      </c>
      <c r="I162" s="129"/>
      <c r="J162" s="40" t="s">
        <v>692</v>
      </c>
      <c r="K162" s="134">
        <v>2</v>
      </c>
      <c r="L162" s="136">
        <v>2780.24</v>
      </c>
      <c r="M162" s="137">
        <v>3248</v>
      </c>
      <c r="N162" s="98">
        <f t="shared" si="44"/>
        <v>467.76</v>
      </c>
      <c r="O162" s="99">
        <f t="shared" si="45"/>
        <v>0.144014778325123</v>
      </c>
      <c r="P162" s="89">
        <f t="shared" si="46"/>
        <v>64.96</v>
      </c>
      <c r="Q162" s="113">
        <f t="shared" si="47"/>
        <v>129.92</v>
      </c>
      <c r="R162" s="58">
        <f t="shared" si="48"/>
        <v>0.02</v>
      </c>
      <c r="S162" s="114">
        <f t="shared" si="49"/>
        <v>0.124014778325123</v>
      </c>
      <c r="T162" s="115">
        <f t="shared" si="50"/>
        <v>0.22</v>
      </c>
      <c r="U162" s="116">
        <v>0.06</v>
      </c>
      <c r="V162" s="117">
        <f t="shared" si="51"/>
        <v>0.18</v>
      </c>
      <c r="W162" s="117">
        <f t="shared" si="52"/>
        <v>-0.0559852216748768</v>
      </c>
      <c r="X162" s="129"/>
      <c r="Y162" s="126">
        <f t="shared" si="53"/>
        <v>0.144014778325123</v>
      </c>
      <c r="Z162" s="134">
        <v>5913254384</v>
      </c>
    </row>
    <row r="163" ht="24" spans="1:26">
      <c r="A163" s="129"/>
      <c r="B163" s="129"/>
      <c r="C163" s="90" t="s">
        <v>361</v>
      </c>
      <c r="D163" s="129"/>
      <c r="E163" s="134" t="s">
        <v>565</v>
      </c>
      <c r="F163" s="130" t="s">
        <v>671</v>
      </c>
      <c r="G163" s="29" t="s">
        <v>631</v>
      </c>
      <c r="H163" s="131">
        <v>45376</v>
      </c>
      <c r="I163" s="129"/>
      <c r="J163" s="40" t="s">
        <v>692</v>
      </c>
      <c r="K163" s="134">
        <v>16</v>
      </c>
      <c r="L163" s="136">
        <v>2692.64</v>
      </c>
      <c r="M163" s="137">
        <v>3248</v>
      </c>
      <c r="N163" s="98">
        <f t="shared" si="44"/>
        <v>555.36</v>
      </c>
      <c r="O163" s="99">
        <f t="shared" si="45"/>
        <v>0.170985221674877</v>
      </c>
      <c r="P163" s="89">
        <f t="shared" si="46"/>
        <v>64.96</v>
      </c>
      <c r="Q163" s="113">
        <f t="shared" si="47"/>
        <v>1039.36</v>
      </c>
      <c r="R163" s="58">
        <f t="shared" si="48"/>
        <v>0.02</v>
      </c>
      <c r="S163" s="114">
        <f t="shared" si="49"/>
        <v>0.150985221674877</v>
      </c>
      <c r="T163" s="115">
        <f t="shared" si="50"/>
        <v>0.22</v>
      </c>
      <c r="U163" s="116">
        <v>0.06</v>
      </c>
      <c r="V163" s="117">
        <f t="shared" si="51"/>
        <v>0.18</v>
      </c>
      <c r="W163" s="117">
        <f t="shared" si="52"/>
        <v>-0.0290147783251231</v>
      </c>
      <c r="X163" s="129"/>
      <c r="Y163" s="126">
        <f t="shared" si="53"/>
        <v>0.170985221674877</v>
      </c>
      <c r="Z163" s="134">
        <v>5913254146</v>
      </c>
    </row>
    <row r="164" ht="24" spans="1:26">
      <c r="A164" s="129"/>
      <c r="B164" s="129"/>
      <c r="C164" s="90" t="s">
        <v>361</v>
      </c>
      <c r="D164" s="129"/>
      <c r="E164" s="130" t="s">
        <v>565</v>
      </c>
      <c r="F164" s="130" t="s">
        <v>671</v>
      </c>
      <c r="G164" s="132" t="s">
        <v>633</v>
      </c>
      <c r="H164" s="158">
        <v>45379</v>
      </c>
      <c r="I164" s="129"/>
      <c r="J164" s="135" t="s">
        <v>615</v>
      </c>
      <c r="K164" s="130">
        <v>1</v>
      </c>
      <c r="L164" s="136">
        <v>1902.65</v>
      </c>
      <c r="M164" s="137">
        <v>2378</v>
      </c>
      <c r="N164" s="98">
        <f t="shared" si="44"/>
        <v>475.35</v>
      </c>
      <c r="O164" s="99">
        <f t="shared" si="45"/>
        <v>0.199894869638352</v>
      </c>
      <c r="P164" s="89">
        <f t="shared" si="46"/>
        <v>47.56</v>
      </c>
      <c r="Q164" s="113">
        <f t="shared" si="47"/>
        <v>47.56</v>
      </c>
      <c r="R164" s="58">
        <f t="shared" si="48"/>
        <v>0.02</v>
      </c>
      <c r="S164" s="114">
        <f t="shared" si="49"/>
        <v>0.179894869638352</v>
      </c>
      <c r="T164" s="115">
        <f t="shared" si="50"/>
        <v>0.22</v>
      </c>
      <c r="U164" s="116">
        <v>0.06</v>
      </c>
      <c r="V164" s="117">
        <f t="shared" si="51"/>
        <v>0.18</v>
      </c>
      <c r="W164" s="117">
        <f t="shared" si="52"/>
        <v>-0.00010513036164847</v>
      </c>
      <c r="X164" s="129"/>
      <c r="Y164" s="126">
        <f t="shared" si="53"/>
        <v>0.199894869638352</v>
      </c>
      <c r="Z164" s="130">
        <v>5913291471</v>
      </c>
    </row>
    <row r="165" ht="24" spans="1:26">
      <c r="A165" s="129"/>
      <c r="B165" s="129"/>
      <c r="C165" s="90" t="s">
        <v>361</v>
      </c>
      <c r="D165" s="129"/>
      <c r="E165" s="130" t="s">
        <v>565</v>
      </c>
      <c r="F165" s="130" t="s">
        <v>671</v>
      </c>
      <c r="G165" s="132" t="s">
        <v>658</v>
      </c>
      <c r="H165" s="158">
        <v>45379</v>
      </c>
      <c r="I165" s="129"/>
      <c r="J165" s="135" t="s">
        <v>674</v>
      </c>
      <c r="K165" s="130">
        <v>1</v>
      </c>
      <c r="L165" s="136">
        <v>168.14</v>
      </c>
      <c r="M165" s="137">
        <v>245</v>
      </c>
      <c r="N165" s="98">
        <f t="shared" si="44"/>
        <v>76.86</v>
      </c>
      <c r="O165" s="99">
        <f t="shared" si="45"/>
        <v>0.313714285714286</v>
      </c>
      <c r="P165" s="89">
        <f t="shared" si="46"/>
        <v>4.9</v>
      </c>
      <c r="Q165" s="113">
        <f t="shared" si="47"/>
        <v>4.9</v>
      </c>
      <c r="R165" s="58">
        <f t="shared" si="48"/>
        <v>0.02</v>
      </c>
      <c r="S165" s="114">
        <f t="shared" si="49"/>
        <v>0.293714285714286</v>
      </c>
      <c r="T165" s="115">
        <f t="shared" si="50"/>
        <v>0.22</v>
      </c>
      <c r="U165" s="116">
        <v>0.06</v>
      </c>
      <c r="V165" s="117">
        <f t="shared" si="51"/>
        <v>0.18</v>
      </c>
      <c r="W165" s="117" t="str">
        <f t="shared" si="52"/>
        <v/>
      </c>
      <c r="X165" s="129"/>
      <c r="Y165" s="126">
        <f t="shared" si="53"/>
        <v>0.313714285714286</v>
      </c>
      <c r="Z165" s="130">
        <v>5913291444</v>
      </c>
    </row>
    <row r="166" ht="24" spans="1:26">
      <c r="A166" s="129"/>
      <c r="B166" s="129"/>
      <c r="C166" s="90" t="s">
        <v>361</v>
      </c>
      <c r="D166" s="129"/>
      <c r="E166" s="130" t="s">
        <v>565</v>
      </c>
      <c r="F166" s="130" t="s">
        <v>671</v>
      </c>
      <c r="G166" s="132" t="s">
        <v>658</v>
      </c>
      <c r="H166" s="158">
        <v>45379</v>
      </c>
      <c r="I166" s="129"/>
      <c r="J166" s="135" t="s">
        <v>674</v>
      </c>
      <c r="K166" s="130">
        <v>1</v>
      </c>
      <c r="L166" s="136">
        <v>168.14</v>
      </c>
      <c r="M166" s="137">
        <v>245</v>
      </c>
      <c r="N166" s="98">
        <f t="shared" si="44"/>
        <v>76.86</v>
      </c>
      <c r="O166" s="99">
        <f t="shared" si="45"/>
        <v>0.313714285714286</v>
      </c>
      <c r="P166" s="89">
        <f t="shared" si="46"/>
        <v>4.9</v>
      </c>
      <c r="Q166" s="113">
        <f t="shared" si="47"/>
        <v>4.9</v>
      </c>
      <c r="R166" s="58">
        <f t="shared" si="48"/>
        <v>0.02</v>
      </c>
      <c r="S166" s="114">
        <f t="shared" si="49"/>
        <v>0.293714285714286</v>
      </c>
      <c r="T166" s="115">
        <f t="shared" si="50"/>
        <v>0.22</v>
      </c>
      <c r="U166" s="116">
        <v>0.06</v>
      </c>
      <c r="V166" s="117">
        <f t="shared" si="51"/>
        <v>0.18</v>
      </c>
      <c r="W166" s="117" t="str">
        <f t="shared" si="52"/>
        <v/>
      </c>
      <c r="X166" s="129"/>
      <c r="Y166" s="126">
        <f t="shared" si="53"/>
        <v>0.313714285714286</v>
      </c>
      <c r="Z166" s="130">
        <v>5913291433</v>
      </c>
    </row>
    <row r="167" ht="24" spans="1:26">
      <c r="A167" s="129"/>
      <c r="B167" s="129"/>
      <c r="C167" s="90" t="s">
        <v>361</v>
      </c>
      <c r="D167" s="129"/>
      <c r="E167" s="130" t="s">
        <v>565</v>
      </c>
      <c r="F167" s="130" t="s">
        <v>671</v>
      </c>
      <c r="G167" s="132" t="s">
        <v>566</v>
      </c>
      <c r="H167" s="158">
        <v>45377</v>
      </c>
      <c r="I167" s="129"/>
      <c r="J167" s="135" t="s">
        <v>693</v>
      </c>
      <c r="K167" s="130">
        <v>1</v>
      </c>
      <c r="L167" s="136">
        <v>796.46</v>
      </c>
      <c r="M167" s="137">
        <v>962</v>
      </c>
      <c r="N167" s="98">
        <f t="shared" si="44"/>
        <v>165.54</v>
      </c>
      <c r="O167" s="99">
        <f t="shared" si="45"/>
        <v>0.172079002079002</v>
      </c>
      <c r="P167" s="89">
        <f t="shared" si="46"/>
        <v>19.24</v>
      </c>
      <c r="Q167" s="113">
        <f t="shared" si="47"/>
        <v>19.24</v>
      </c>
      <c r="R167" s="58">
        <f t="shared" si="48"/>
        <v>0.02</v>
      </c>
      <c r="S167" s="114">
        <f t="shared" si="49"/>
        <v>0.152079002079002</v>
      </c>
      <c r="T167" s="115">
        <f t="shared" si="50"/>
        <v>0.22</v>
      </c>
      <c r="U167" s="116">
        <v>0.06</v>
      </c>
      <c r="V167" s="117">
        <f t="shared" si="51"/>
        <v>0.18</v>
      </c>
      <c r="W167" s="117">
        <f t="shared" si="52"/>
        <v>-0.027920997920998</v>
      </c>
      <c r="X167" s="129"/>
      <c r="Y167" s="126">
        <f t="shared" si="53"/>
        <v>0.172079002079002</v>
      </c>
      <c r="Z167" s="130">
        <v>5913291410</v>
      </c>
    </row>
    <row r="168" ht="24" spans="1:26">
      <c r="A168" s="129"/>
      <c r="B168" s="129"/>
      <c r="C168" s="90" t="s">
        <v>361</v>
      </c>
      <c r="D168" s="129"/>
      <c r="E168" s="130" t="s">
        <v>565</v>
      </c>
      <c r="F168" s="130" t="s">
        <v>671</v>
      </c>
      <c r="G168" s="132" t="s">
        <v>631</v>
      </c>
      <c r="H168" s="158">
        <v>45379</v>
      </c>
      <c r="I168" s="129"/>
      <c r="J168" s="40" t="s">
        <v>692</v>
      </c>
      <c r="K168" s="130">
        <v>6</v>
      </c>
      <c r="L168" s="136">
        <v>2692.64</v>
      </c>
      <c r="M168" s="137">
        <v>3248</v>
      </c>
      <c r="N168" s="98">
        <f t="shared" si="44"/>
        <v>555.36</v>
      </c>
      <c r="O168" s="99">
        <f t="shared" si="45"/>
        <v>0.170985221674877</v>
      </c>
      <c r="P168" s="89">
        <f t="shared" si="46"/>
        <v>64.96</v>
      </c>
      <c r="Q168" s="113">
        <f t="shared" si="47"/>
        <v>389.76</v>
      </c>
      <c r="R168" s="58">
        <f t="shared" si="48"/>
        <v>0.02</v>
      </c>
      <c r="S168" s="114">
        <f t="shared" si="49"/>
        <v>0.150985221674877</v>
      </c>
      <c r="T168" s="115">
        <f t="shared" si="50"/>
        <v>0.22</v>
      </c>
      <c r="U168" s="116">
        <v>0.06</v>
      </c>
      <c r="V168" s="117">
        <f t="shared" si="51"/>
        <v>0.18</v>
      </c>
      <c r="W168" s="117">
        <f t="shared" si="52"/>
        <v>-0.0290147783251231</v>
      </c>
      <c r="X168" s="129"/>
      <c r="Y168" s="126">
        <f t="shared" si="53"/>
        <v>0.170985221674877</v>
      </c>
      <c r="Z168" s="130">
        <v>5913308290</v>
      </c>
    </row>
    <row r="169" ht="24" spans="1:26">
      <c r="A169" s="129"/>
      <c r="B169" s="129"/>
      <c r="C169" s="90" t="s">
        <v>361</v>
      </c>
      <c r="D169" s="129"/>
      <c r="E169" s="130" t="s">
        <v>565</v>
      </c>
      <c r="F169" s="130" t="s">
        <v>648</v>
      </c>
      <c r="G169" s="132" t="s">
        <v>595</v>
      </c>
      <c r="H169" s="158">
        <v>45378</v>
      </c>
      <c r="I169" s="129"/>
      <c r="J169" s="40" t="s">
        <v>694</v>
      </c>
      <c r="K169" s="130">
        <v>2</v>
      </c>
      <c r="L169" s="136">
        <v>867.26</v>
      </c>
      <c r="M169" s="137">
        <v>1093</v>
      </c>
      <c r="N169" s="98">
        <f t="shared" si="44"/>
        <v>225.74</v>
      </c>
      <c r="O169" s="99">
        <f t="shared" si="45"/>
        <v>0.206532479414456</v>
      </c>
      <c r="P169" s="89">
        <f t="shared" si="46"/>
        <v>21.86</v>
      </c>
      <c r="Q169" s="113">
        <f t="shared" si="47"/>
        <v>43.72</v>
      </c>
      <c r="R169" s="58">
        <f t="shared" si="48"/>
        <v>0.02</v>
      </c>
      <c r="S169" s="114">
        <f t="shared" si="49"/>
        <v>0.186532479414456</v>
      </c>
      <c r="T169" s="115">
        <f t="shared" si="50"/>
        <v>0.22</v>
      </c>
      <c r="U169" s="116">
        <v>0.06</v>
      </c>
      <c r="V169" s="117">
        <f t="shared" si="51"/>
        <v>0.18</v>
      </c>
      <c r="W169" s="117" t="str">
        <f t="shared" si="52"/>
        <v/>
      </c>
      <c r="X169" s="129"/>
      <c r="Y169" s="126">
        <f t="shared" si="53"/>
        <v>0.206532479414456</v>
      </c>
      <c r="Z169" s="130">
        <v>5913306038</v>
      </c>
    </row>
    <row r="170" ht="24" spans="1:26">
      <c r="A170" s="129"/>
      <c r="B170" s="129"/>
      <c r="C170" s="90" t="s">
        <v>361</v>
      </c>
      <c r="D170" s="129"/>
      <c r="E170" s="130" t="s">
        <v>565</v>
      </c>
      <c r="F170" s="130" t="s">
        <v>671</v>
      </c>
      <c r="G170" s="157" t="s">
        <v>590</v>
      </c>
      <c r="H170" s="158">
        <v>45383</v>
      </c>
      <c r="I170" s="129"/>
      <c r="J170" s="40" t="s">
        <v>164</v>
      </c>
      <c r="K170" s="130">
        <v>40</v>
      </c>
      <c r="L170" s="136">
        <v>3942.22</v>
      </c>
      <c r="M170" s="137">
        <v>4980</v>
      </c>
      <c r="N170" s="98">
        <f t="shared" si="44"/>
        <v>1037.78</v>
      </c>
      <c r="O170" s="99">
        <f t="shared" si="45"/>
        <v>0.208389558232932</v>
      </c>
      <c r="P170" s="89">
        <f t="shared" si="46"/>
        <v>99.6</v>
      </c>
      <c r="Q170" s="113">
        <f t="shared" si="47"/>
        <v>3984</v>
      </c>
      <c r="R170" s="58">
        <f t="shared" si="48"/>
        <v>0.02</v>
      </c>
      <c r="S170" s="114">
        <f t="shared" si="49"/>
        <v>0.188389558232932</v>
      </c>
      <c r="T170" s="115">
        <f t="shared" si="50"/>
        <v>0.22</v>
      </c>
      <c r="U170" s="116">
        <v>0.06</v>
      </c>
      <c r="V170" s="117">
        <f t="shared" si="51"/>
        <v>0.18</v>
      </c>
      <c r="W170" s="117" t="str">
        <f t="shared" si="52"/>
        <v/>
      </c>
      <c r="X170" s="129"/>
      <c r="Y170" s="126">
        <f t="shared" si="53"/>
        <v>0.208389558232932</v>
      </c>
      <c r="Z170" s="130">
        <v>5913348167</v>
      </c>
    </row>
    <row r="171" ht="24" spans="1:26">
      <c r="A171" s="129"/>
      <c r="B171" s="129"/>
      <c r="C171" s="90" t="s">
        <v>361</v>
      </c>
      <c r="D171" s="129"/>
      <c r="E171" s="130" t="s">
        <v>565</v>
      </c>
      <c r="F171" s="130" t="s">
        <v>671</v>
      </c>
      <c r="G171" s="132" t="s">
        <v>570</v>
      </c>
      <c r="H171" s="158">
        <v>45385</v>
      </c>
      <c r="I171" s="129"/>
      <c r="J171" s="40" t="s">
        <v>657</v>
      </c>
      <c r="K171" s="130">
        <v>1</v>
      </c>
      <c r="L171" s="136">
        <v>2641.57</v>
      </c>
      <c r="M171" s="137">
        <v>3612</v>
      </c>
      <c r="N171" s="98">
        <f t="shared" si="44"/>
        <v>970.43</v>
      </c>
      <c r="O171" s="99">
        <f t="shared" si="45"/>
        <v>0.268668327796235</v>
      </c>
      <c r="P171" s="89">
        <f t="shared" si="46"/>
        <v>72.24</v>
      </c>
      <c r="Q171" s="113">
        <f t="shared" si="47"/>
        <v>72.24</v>
      </c>
      <c r="R171" s="58">
        <f t="shared" si="48"/>
        <v>0.02</v>
      </c>
      <c r="S171" s="114">
        <f t="shared" si="49"/>
        <v>0.248668327796235</v>
      </c>
      <c r="T171" s="115">
        <f t="shared" si="50"/>
        <v>0.22</v>
      </c>
      <c r="U171" s="116">
        <v>0.06</v>
      </c>
      <c r="V171" s="117">
        <f t="shared" si="51"/>
        <v>0.18</v>
      </c>
      <c r="W171" s="117" t="str">
        <f t="shared" si="52"/>
        <v/>
      </c>
      <c r="X171" s="129"/>
      <c r="Y171" s="126">
        <f t="shared" si="53"/>
        <v>0.268668327796235</v>
      </c>
      <c r="Z171" s="130">
        <v>5913372548</v>
      </c>
    </row>
    <row r="172" ht="24" spans="1:26">
      <c r="A172" s="129"/>
      <c r="B172" s="129"/>
      <c r="C172" s="90" t="s">
        <v>361</v>
      </c>
      <c r="D172" s="129"/>
      <c r="E172" s="130" t="s">
        <v>565</v>
      </c>
      <c r="F172" s="29" t="s">
        <v>671</v>
      </c>
      <c r="G172" s="29" t="s">
        <v>591</v>
      </c>
      <c r="H172" s="158">
        <v>45384</v>
      </c>
      <c r="I172" s="129"/>
      <c r="J172" s="40" t="s">
        <v>684</v>
      </c>
      <c r="K172" s="29">
        <v>25</v>
      </c>
      <c r="L172" s="136">
        <v>2189.39</v>
      </c>
      <c r="M172" s="137">
        <v>3155</v>
      </c>
      <c r="N172" s="98">
        <f t="shared" si="44"/>
        <v>965.61</v>
      </c>
      <c r="O172" s="99">
        <f t="shared" si="45"/>
        <v>0.30605705229794</v>
      </c>
      <c r="P172" s="89">
        <f t="shared" si="46"/>
        <v>63.1</v>
      </c>
      <c r="Q172" s="113">
        <f t="shared" si="47"/>
        <v>1577.5</v>
      </c>
      <c r="R172" s="58">
        <f t="shared" si="48"/>
        <v>0.02</v>
      </c>
      <c r="S172" s="114">
        <f t="shared" si="49"/>
        <v>0.28605705229794</v>
      </c>
      <c r="T172" s="115">
        <f t="shared" si="50"/>
        <v>0.22</v>
      </c>
      <c r="U172" s="116">
        <v>0.06</v>
      </c>
      <c r="V172" s="117">
        <f t="shared" si="51"/>
        <v>0.18</v>
      </c>
      <c r="W172" s="117" t="str">
        <f t="shared" si="52"/>
        <v/>
      </c>
      <c r="X172" s="129"/>
      <c r="Y172" s="126">
        <f t="shared" si="53"/>
        <v>0.30605705229794</v>
      </c>
      <c r="Z172" s="29">
        <v>5913366637</v>
      </c>
    </row>
    <row r="173" ht="24" spans="1:26">
      <c r="A173" s="129"/>
      <c r="B173" s="129"/>
      <c r="C173" s="90" t="s">
        <v>361</v>
      </c>
      <c r="D173" s="129"/>
      <c r="E173" s="130" t="s">
        <v>565</v>
      </c>
      <c r="F173" s="29" t="s">
        <v>671</v>
      </c>
      <c r="G173" s="29" t="s">
        <v>633</v>
      </c>
      <c r="H173" s="158">
        <v>45391</v>
      </c>
      <c r="I173" s="129"/>
      <c r="J173" s="40" t="s">
        <v>615</v>
      </c>
      <c r="K173" s="29">
        <v>5</v>
      </c>
      <c r="L173" s="136">
        <v>1902.65</v>
      </c>
      <c r="M173" s="137">
        <v>2378</v>
      </c>
      <c r="N173" s="98">
        <f t="shared" si="44"/>
        <v>475.35</v>
      </c>
      <c r="O173" s="99">
        <f t="shared" si="45"/>
        <v>0.199894869638352</v>
      </c>
      <c r="P173" s="89">
        <f t="shared" si="46"/>
        <v>47.56</v>
      </c>
      <c r="Q173" s="113">
        <f t="shared" si="47"/>
        <v>237.8</v>
      </c>
      <c r="R173" s="58">
        <f t="shared" si="48"/>
        <v>0.02</v>
      </c>
      <c r="S173" s="114">
        <f t="shared" si="49"/>
        <v>0.179894869638351</v>
      </c>
      <c r="T173" s="115">
        <f t="shared" si="50"/>
        <v>0.22</v>
      </c>
      <c r="U173" s="116">
        <v>0.06</v>
      </c>
      <c r="V173" s="117">
        <f t="shared" si="51"/>
        <v>0.18</v>
      </c>
      <c r="W173" s="117">
        <f t="shared" si="52"/>
        <v>-0.000105130361648498</v>
      </c>
      <c r="X173" s="129"/>
      <c r="Y173" s="126">
        <f t="shared" si="53"/>
        <v>0.199894869638352</v>
      </c>
      <c r="Z173" s="29">
        <v>5913428354</v>
      </c>
    </row>
    <row r="174" ht="24" spans="1:26">
      <c r="A174" s="129"/>
      <c r="B174" s="129"/>
      <c r="C174" s="90" t="s">
        <v>361</v>
      </c>
      <c r="D174" s="129"/>
      <c r="E174" s="130" t="s">
        <v>565</v>
      </c>
      <c r="F174" s="29" t="s">
        <v>671</v>
      </c>
      <c r="G174" s="29" t="s">
        <v>574</v>
      </c>
      <c r="H174" s="159">
        <v>45398</v>
      </c>
      <c r="I174" s="129"/>
      <c r="J174" s="40" t="s">
        <v>602</v>
      </c>
      <c r="K174" s="29">
        <v>12</v>
      </c>
      <c r="L174" s="136">
        <v>675.66</v>
      </c>
      <c r="M174" s="137">
        <v>872</v>
      </c>
      <c r="N174" s="98">
        <f t="shared" si="44"/>
        <v>196.34</v>
      </c>
      <c r="O174" s="99">
        <f t="shared" si="45"/>
        <v>0.225160550458716</v>
      </c>
      <c r="P174" s="89">
        <f t="shared" si="46"/>
        <v>17.44</v>
      </c>
      <c r="Q174" s="113">
        <f t="shared" si="47"/>
        <v>209.28</v>
      </c>
      <c r="R174" s="58">
        <f t="shared" si="48"/>
        <v>0.02</v>
      </c>
      <c r="S174" s="114">
        <f t="shared" si="49"/>
        <v>0.205160550458716</v>
      </c>
      <c r="T174" s="115">
        <f t="shared" si="50"/>
        <v>0.22</v>
      </c>
      <c r="U174" s="116">
        <v>0.06</v>
      </c>
      <c r="V174" s="117">
        <f t="shared" si="51"/>
        <v>0.18</v>
      </c>
      <c r="W174" s="117" t="str">
        <f t="shared" si="52"/>
        <v/>
      </c>
      <c r="X174" s="129"/>
      <c r="Y174" s="126">
        <f t="shared" si="53"/>
        <v>0.225160550458716</v>
      </c>
      <c r="Z174" s="29">
        <v>5913501929</v>
      </c>
    </row>
    <row r="175" ht="24" spans="1:26">
      <c r="A175" s="129"/>
      <c r="B175" s="129"/>
      <c r="C175" s="90" t="s">
        <v>361</v>
      </c>
      <c r="D175" s="129"/>
      <c r="E175" s="130" t="s">
        <v>565</v>
      </c>
      <c r="F175" s="29" t="s">
        <v>671</v>
      </c>
      <c r="G175" s="29" t="s">
        <v>670</v>
      </c>
      <c r="H175" s="159">
        <v>45398</v>
      </c>
      <c r="I175" s="129"/>
      <c r="J175" s="40" t="s">
        <v>645</v>
      </c>
      <c r="K175" s="29">
        <v>2</v>
      </c>
      <c r="L175" s="136">
        <v>262.44</v>
      </c>
      <c r="M175" s="137">
        <v>298.23</v>
      </c>
      <c r="N175" s="98">
        <f t="shared" si="44"/>
        <v>35.79</v>
      </c>
      <c r="O175" s="99">
        <f t="shared" si="45"/>
        <v>0.120008047480133</v>
      </c>
      <c r="P175" s="89">
        <f t="shared" si="46"/>
        <v>5.9646</v>
      </c>
      <c r="Q175" s="113">
        <f t="shared" si="47"/>
        <v>11.9292</v>
      </c>
      <c r="R175" s="58">
        <f t="shared" si="48"/>
        <v>0.02</v>
      </c>
      <c r="S175" s="114">
        <f t="shared" si="49"/>
        <v>0.100008047480133</v>
      </c>
      <c r="T175" s="115">
        <f t="shared" si="50"/>
        <v>0.22</v>
      </c>
      <c r="U175" s="116">
        <v>0.06</v>
      </c>
      <c r="V175" s="117">
        <f t="shared" si="51"/>
        <v>0.18</v>
      </c>
      <c r="W175" s="117">
        <f t="shared" si="52"/>
        <v>-0.0799919525198672</v>
      </c>
      <c r="X175" s="129"/>
      <c r="Y175" s="126">
        <f t="shared" si="53"/>
        <v>0.120008047480133</v>
      </c>
      <c r="Z175" s="29">
        <v>5913501932</v>
      </c>
    </row>
    <row r="176" ht="24" spans="1:26">
      <c r="A176" s="129"/>
      <c r="B176" s="129"/>
      <c r="C176" s="90" t="s">
        <v>361</v>
      </c>
      <c r="D176" s="129"/>
      <c r="E176" s="130" t="s">
        <v>565</v>
      </c>
      <c r="F176" s="130" t="s">
        <v>671</v>
      </c>
      <c r="G176" s="29" t="s">
        <v>695</v>
      </c>
      <c r="H176" s="159">
        <v>45402</v>
      </c>
      <c r="I176" s="129"/>
      <c r="J176" s="40" t="s">
        <v>696</v>
      </c>
      <c r="K176" s="134">
        <v>2</v>
      </c>
      <c r="L176" s="136">
        <v>1761.06</v>
      </c>
      <c r="M176" s="137">
        <v>2323</v>
      </c>
      <c r="N176" s="98">
        <f t="shared" si="44"/>
        <v>561.94</v>
      </c>
      <c r="O176" s="99">
        <f t="shared" si="45"/>
        <v>0.241902712010331</v>
      </c>
      <c r="P176" s="89">
        <f t="shared" si="46"/>
        <v>46.46</v>
      </c>
      <c r="Q176" s="113">
        <f t="shared" si="47"/>
        <v>92.92</v>
      </c>
      <c r="R176" s="58">
        <f t="shared" si="48"/>
        <v>0.02</v>
      </c>
      <c r="S176" s="114">
        <f t="shared" si="49"/>
        <v>0.221902712010331</v>
      </c>
      <c r="T176" s="115">
        <f t="shared" si="50"/>
        <v>0.22</v>
      </c>
      <c r="U176" s="116">
        <v>0.06</v>
      </c>
      <c r="V176" s="117">
        <f t="shared" si="51"/>
        <v>0.18</v>
      </c>
      <c r="W176" s="117" t="str">
        <f t="shared" si="52"/>
        <v/>
      </c>
      <c r="X176" s="129"/>
      <c r="Y176" s="126">
        <f t="shared" si="53"/>
        <v>0.241902712010331</v>
      </c>
      <c r="Z176" s="29">
        <v>5913557571</v>
      </c>
    </row>
    <row r="177" ht="24" spans="1:26">
      <c r="A177" s="129"/>
      <c r="B177" s="129"/>
      <c r="C177" s="90" t="s">
        <v>361</v>
      </c>
      <c r="D177" s="129"/>
      <c r="E177" s="130" t="s">
        <v>565</v>
      </c>
      <c r="F177" s="130" t="s">
        <v>671</v>
      </c>
      <c r="G177" s="29" t="s">
        <v>574</v>
      </c>
      <c r="H177" s="158">
        <v>45405</v>
      </c>
      <c r="I177" s="129"/>
      <c r="J177" s="40" t="s">
        <v>697</v>
      </c>
      <c r="K177" s="134">
        <v>3</v>
      </c>
      <c r="L177" s="136">
        <v>119.47</v>
      </c>
      <c r="M177" s="137">
        <v>172</v>
      </c>
      <c r="N177" s="98">
        <f t="shared" si="44"/>
        <v>52.53</v>
      </c>
      <c r="O177" s="99">
        <f t="shared" si="45"/>
        <v>0.305406976744186</v>
      </c>
      <c r="P177" s="89">
        <f t="shared" si="46"/>
        <v>3.44</v>
      </c>
      <c r="Q177" s="113">
        <f t="shared" si="47"/>
        <v>10.32</v>
      </c>
      <c r="R177" s="58">
        <f t="shared" si="48"/>
        <v>0.02</v>
      </c>
      <c r="S177" s="114">
        <f t="shared" si="49"/>
        <v>0.285406976744186</v>
      </c>
      <c r="T177" s="115">
        <f t="shared" si="50"/>
        <v>0.22</v>
      </c>
      <c r="U177" s="116">
        <v>0.06</v>
      </c>
      <c r="V177" s="117">
        <f t="shared" si="51"/>
        <v>0.18</v>
      </c>
      <c r="W177" s="117" t="str">
        <f t="shared" si="52"/>
        <v/>
      </c>
      <c r="X177" s="129"/>
      <c r="Y177" s="126">
        <f t="shared" si="53"/>
        <v>0.305406976744186</v>
      </c>
      <c r="Z177" s="29">
        <v>5913586877</v>
      </c>
    </row>
    <row r="178" ht="24" spans="1:26">
      <c r="A178" s="129"/>
      <c r="B178" s="129"/>
      <c r="C178" s="90" t="s">
        <v>361</v>
      </c>
      <c r="D178" s="129"/>
      <c r="E178" s="130" t="s">
        <v>565</v>
      </c>
      <c r="F178" s="130" t="s">
        <v>671</v>
      </c>
      <c r="G178" s="29" t="s">
        <v>574</v>
      </c>
      <c r="H178" s="158">
        <v>45405</v>
      </c>
      <c r="I178" s="129"/>
      <c r="J178" s="40" t="s">
        <v>698</v>
      </c>
      <c r="K178" s="134">
        <v>10</v>
      </c>
      <c r="L178" s="136">
        <v>530.97</v>
      </c>
      <c r="M178" s="137">
        <v>625</v>
      </c>
      <c r="N178" s="98">
        <f t="shared" si="44"/>
        <v>94.03</v>
      </c>
      <c r="O178" s="99">
        <f t="shared" si="45"/>
        <v>0.150448</v>
      </c>
      <c r="P178" s="89">
        <f t="shared" si="46"/>
        <v>12.5</v>
      </c>
      <c r="Q178" s="113">
        <f t="shared" si="47"/>
        <v>125</v>
      </c>
      <c r="R178" s="58">
        <f t="shared" si="48"/>
        <v>0.02</v>
      </c>
      <c r="S178" s="114">
        <f t="shared" si="49"/>
        <v>0.130448</v>
      </c>
      <c r="T178" s="115">
        <f t="shared" si="50"/>
        <v>0.22</v>
      </c>
      <c r="U178" s="116">
        <v>0.06</v>
      </c>
      <c r="V178" s="117">
        <f t="shared" si="51"/>
        <v>0.18</v>
      </c>
      <c r="W178" s="117">
        <f t="shared" si="52"/>
        <v>-0.049552</v>
      </c>
      <c r="X178" s="129"/>
      <c r="Y178" s="126">
        <f t="shared" si="53"/>
        <v>0.150448</v>
      </c>
      <c r="Z178" s="29">
        <v>5913588896</v>
      </c>
    </row>
    <row r="179" ht="24" spans="1:26">
      <c r="A179" s="129"/>
      <c r="B179" s="129"/>
      <c r="C179" s="90" t="s">
        <v>361</v>
      </c>
      <c r="D179" s="129"/>
      <c r="E179" s="134" t="s">
        <v>565</v>
      </c>
      <c r="F179" s="29" t="s">
        <v>671</v>
      </c>
      <c r="G179" s="29" t="s">
        <v>590</v>
      </c>
      <c r="H179" s="159">
        <v>45410</v>
      </c>
      <c r="I179" s="129"/>
      <c r="J179" s="40" t="s">
        <v>164</v>
      </c>
      <c r="K179" s="29">
        <v>20</v>
      </c>
      <c r="L179" s="161">
        <v>3942.22</v>
      </c>
      <c r="M179" s="137">
        <v>4980</v>
      </c>
      <c r="N179" s="98">
        <f t="shared" si="44"/>
        <v>1037.78</v>
      </c>
      <c r="O179" s="99">
        <f t="shared" si="45"/>
        <v>0.208389558232932</v>
      </c>
      <c r="P179" s="89">
        <f t="shared" si="46"/>
        <v>99.6</v>
      </c>
      <c r="Q179" s="113">
        <f t="shared" si="47"/>
        <v>1992</v>
      </c>
      <c r="R179" s="58">
        <f t="shared" si="48"/>
        <v>0.02</v>
      </c>
      <c r="S179" s="114">
        <f t="shared" si="49"/>
        <v>0.188389558232932</v>
      </c>
      <c r="T179" s="115">
        <f t="shared" si="50"/>
        <v>0.22</v>
      </c>
      <c r="U179" s="116">
        <v>0.06</v>
      </c>
      <c r="V179" s="117">
        <f t="shared" si="51"/>
        <v>0.18</v>
      </c>
      <c r="W179" s="117" t="str">
        <f t="shared" si="52"/>
        <v/>
      </c>
      <c r="X179" s="129"/>
      <c r="Y179" s="126">
        <f t="shared" si="53"/>
        <v>0.208389558232932</v>
      </c>
      <c r="Z179" s="29">
        <v>5913649577</v>
      </c>
    </row>
    <row r="180" ht="32" customHeight="1" spans="1:26">
      <c r="A180" s="129"/>
      <c r="B180" s="129"/>
      <c r="C180" s="90" t="s">
        <v>361</v>
      </c>
      <c r="D180" s="129"/>
      <c r="E180" s="134" t="s">
        <v>565</v>
      </c>
      <c r="F180" s="29" t="s">
        <v>671</v>
      </c>
      <c r="G180" s="29" t="s">
        <v>685</v>
      </c>
      <c r="H180" s="159">
        <v>45410</v>
      </c>
      <c r="I180" s="129"/>
      <c r="J180" s="40" t="s">
        <v>699</v>
      </c>
      <c r="K180" s="29">
        <v>1</v>
      </c>
      <c r="L180" s="136">
        <v>14601.77</v>
      </c>
      <c r="M180" s="137">
        <v>18890</v>
      </c>
      <c r="N180" s="98">
        <f t="shared" si="44"/>
        <v>4288.23</v>
      </c>
      <c r="O180" s="99">
        <f t="shared" si="45"/>
        <v>0.227010587612493</v>
      </c>
      <c r="P180" s="89">
        <f t="shared" si="46"/>
        <v>377.8</v>
      </c>
      <c r="Q180" s="113">
        <f t="shared" si="47"/>
        <v>377.8</v>
      </c>
      <c r="R180" s="58">
        <f t="shared" si="48"/>
        <v>0.02</v>
      </c>
      <c r="S180" s="114">
        <f t="shared" si="49"/>
        <v>0.207010587612493</v>
      </c>
      <c r="T180" s="115">
        <f t="shared" si="50"/>
        <v>0.22</v>
      </c>
      <c r="U180" s="116">
        <v>0.06</v>
      </c>
      <c r="V180" s="117">
        <f t="shared" si="51"/>
        <v>0.18</v>
      </c>
      <c r="W180" s="117" t="str">
        <f t="shared" si="52"/>
        <v/>
      </c>
      <c r="X180" s="129"/>
      <c r="Y180" s="126">
        <f t="shared" si="53"/>
        <v>0.227010587612493</v>
      </c>
      <c r="Z180" s="29">
        <v>5913647679</v>
      </c>
    </row>
    <row r="181" ht="24" spans="1:26">
      <c r="A181" s="129"/>
      <c r="B181" s="129"/>
      <c r="C181" s="90" t="s">
        <v>361</v>
      </c>
      <c r="D181" s="129"/>
      <c r="E181" s="134" t="s">
        <v>565</v>
      </c>
      <c r="F181" s="29" t="s">
        <v>671</v>
      </c>
      <c r="G181" s="29" t="s">
        <v>570</v>
      </c>
      <c r="H181" s="158">
        <v>45411</v>
      </c>
      <c r="I181" s="129"/>
      <c r="J181" s="40" t="s">
        <v>628</v>
      </c>
      <c r="K181" s="29">
        <v>3</v>
      </c>
      <c r="L181" s="136">
        <v>2707.96</v>
      </c>
      <c r="M181" s="137">
        <v>3650</v>
      </c>
      <c r="N181" s="98">
        <f t="shared" si="44"/>
        <v>942.04</v>
      </c>
      <c r="O181" s="99">
        <f t="shared" si="45"/>
        <v>0.258093150684931</v>
      </c>
      <c r="P181" s="89">
        <f t="shared" si="46"/>
        <v>73</v>
      </c>
      <c r="Q181" s="113">
        <f t="shared" si="47"/>
        <v>219</v>
      </c>
      <c r="R181" s="58">
        <f t="shared" si="48"/>
        <v>0.02</v>
      </c>
      <c r="S181" s="114">
        <f t="shared" si="49"/>
        <v>0.238093150684932</v>
      </c>
      <c r="T181" s="115">
        <f t="shared" si="50"/>
        <v>0.22</v>
      </c>
      <c r="U181" s="116">
        <v>0.06</v>
      </c>
      <c r="V181" s="117">
        <f t="shared" si="51"/>
        <v>0.18</v>
      </c>
      <c r="W181" s="117" t="str">
        <f t="shared" si="52"/>
        <v/>
      </c>
      <c r="X181" s="129"/>
      <c r="Y181" s="126">
        <f t="shared" si="53"/>
        <v>0.258093150684931</v>
      </c>
      <c r="Z181" s="29">
        <v>5913661204</v>
      </c>
    </row>
    <row r="182" ht="24" spans="1:26">
      <c r="A182" s="129"/>
      <c r="B182" s="129"/>
      <c r="C182" s="90" t="s">
        <v>361</v>
      </c>
      <c r="D182" s="129"/>
      <c r="E182" s="134" t="s">
        <v>565</v>
      </c>
      <c r="F182" s="29" t="s">
        <v>671</v>
      </c>
      <c r="G182" s="29" t="s">
        <v>570</v>
      </c>
      <c r="H182" s="158">
        <v>45411</v>
      </c>
      <c r="I182" s="129"/>
      <c r="J182" s="40" t="s">
        <v>657</v>
      </c>
      <c r="K182" s="29">
        <v>1</v>
      </c>
      <c r="L182" s="136">
        <v>2376.11</v>
      </c>
      <c r="M182" s="137">
        <v>3450</v>
      </c>
      <c r="N182" s="98">
        <f t="shared" si="44"/>
        <v>1073.89</v>
      </c>
      <c r="O182" s="99">
        <f t="shared" si="45"/>
        <v>0.311272463768116</v>
      </c>
      <c r="P182" s="89">
        <f t="shared" si="46"/>
        <v>69</v>
      </c>
      <c r="Q182" s="113">
        <f t="shared" si="47"/>
        <v>69</v>
      </c>
      <c r="R182" s="58">
        <f t="shared" si="48"/>
        <v>0.02</v>
      </c>
      <c r="S182" s="114">
        <f t="shared" si="49"/>
        <v>0.291272463768116</v>
      </c>
      <c r="T182" s="115">
        <f t="shared" si="50"/>
        <v>0.22</v>
      </c>
      <c r="U182" s="116">
        <v>0.06</v>
      </c>
      <c r="V182" s="117">
        <f t="shared" si="51"/>
        <v>0.18</v>
      </c>
      <c r="W182" s="117" t="str">
        <f t="shared" si="52"/>
        <v/>
      </c>
      <c r="X182" s="129"/>
      <c r="Y182" s="126">
        <f t="shared" si="53"/>
        <v>0.311272463768116</v>
      </c>
      <c r="Z182" s="29">
        <v>5913662939</v>
      </c>
    </row>
    <row r="183" ht="24" spans="1:26">
      <c r="A183" s="129"/>
      <c r="B183" s="129"/>
      <c r="C183" s="90" t="s">
        <v>361</v>
      </c>
      <c r="D183" s="129"/>
      <c r="E183" s="134" t="s">
        <v>565</v>
      </c>
      <c r="F183" s="29" t="s">
        <v>671</v>
      </c>
      <c r="G183" s="29" t="s">
        <v>570</v>
      </c>
      <c r="H183" s="158">
        <v>45411</v>
      </c>
      <c r="I183" s="129"/>
      <c r="J183" s="40" t="s">
        <v>628</v>
      </c>
      <c r="K183" s="29">
        <v>3</v>
      </c>
      <c r="L183" s="136">
        <v>2610.62</v>
      </c>
      <c r="M183" s="137">
        <v>3650</v>
      </c>
      <c r="N183" s="98">
        <f t="shared" si="44"/>
        <v>1039.38</v>
      </c>
      <c r="O183" s="99">
        <f t="shared" si="45"/>
        <v>0.284761643835616</v>
      </c>
      <c r="P183" s="89">
        <f t="shared" si="46"/>
        <v>73</v>
      </c>
      <c r="Q183" s="113">
        <f t="shared" si="47"/>
        <v>219</v>
      </c>
      <c r="R183" s="58">
        <f t="shared" si="48"/>
        <v>0.02</v>
      </c>
      <c r="S183" s="114">
        <f t="shared" si="49"/>
        <v>0.264761643835616</v>
      </c>
      <c r="T183" s="115">
        <f t="shared" si="50"/>
        <v>0.22</v>
      </c>
      <c r="U183" s="116">
        <v>0.06</v>
      </c>
      <c r="V183" s="117">
        <f t="shared" si="51"/>
        <v>0.18</v>
      </c>
      <c r="W183" s="117" t="str">
        <f t="shared" si="52"/>
        <v/>
      </c>
      <c r="X183" s="129"/>
      <c r="Y183" s="126">
        <f t="shared" si="53"/>
        <v>0.284761643835616</v>
      </c>
      <c r="Z183" s="29">
        <v>5913662942</v>
      </c>
    </row>
    <row r="184" ht="24" spans="1:26">
      <c r="A184" s="129"/>
      <c r="B184" s="129"/>
      <c r="C184" s="90" t="s">
        <v>361</v>
      </c>
      <c r="D184" s="129"/>
      <c r="E184" s="134" t="s">
        <v>565</v>
      </c>
      <c r="F184" s="29" t="s">
        <v>671</v>
      </c>
      <c r="G184" s="29" t="s">
        <v>570</v>
      </c>
      <c r="H184" s="158">
        <v>45411</v>
      </c>
      <c r="I184" s="129"/>
      <c r="J184" s="40" t="s">
        <v>628</v>
      </c>
      <c r="K184" s="29">
        <v>7</v>
      </c>
      <c r="L184" s="136">
        <v>2707.96</v>
      </c>
      <c r="M184" s="137">
        <v>3650</v>
      </c>
      <c r="N184" s="98">
        <f t="shared" si="44"/>
        <v>942.04</v>
      </c>
      <c r="O184" s="99">
        <f t="shared" si="45"/>
        <v>0.258093150684931</v>
      </c>
      <c r="P184" s="89">
        <f t="shared" si="46"/>
        <v>73</v>
      </c>
      <c r="Q184" s="113">
        <f t="shared" si="47"/>
        <v>511</v>
      </c>
      <c r="R184" s="58">
        <f t="shared" si="48"/>
        <v>0.02</v>
      </c>
      <c r="S184" s="114">
        <f t="shared" si="49"/>
        <v>0.238093150684932</v>
      </c>
      <c r="T184" s="115">
        <f t="shared" si="50"/>
        <v>0.22</v>
      </c>
      <c r="U184" s="116">
        <v>0.06</v>
      </c>
      <c r="V184" s="117">
        <f t="shared" si="51"/>
        <v>0.18</v>
      </c>
      <c r="W184" s="117" t="str">
        <f t="shared" si="52"/>
        <v/>
      </c>
      <c r="X184" s="129"/>
      <c r="Y184" s="126">
        <f t="shared" si="53"/>
        <v>0.258093150684931</v>
      </c>
      <c r="Z184" s="29">
        <v>5913662942</v>
      </c>
    </row>
    <row r="185" ht="24" spans="1:26">
      <c r="A185" s="129"/>
      <c r="B185" s="129"/>
      <c r="C185" s="90" t="s">
        <v>361</v>
      </c>
      <c r="D185" s="129"/>
      <c r="E185" s="134" t="s">
        <v>565</v>
      </c>
      <c r="F185" s="29" t="s">
        <v>671</v>
      </c>
      <c r="G185" s="29" t="s">
        <v>570</v>
      </c>
      <c r="H185" s="158">
        <v>45411</v>
      </c>
      <c r="I185" s="129"/>
      <c r="J185" s="40" t="s">
        <v>700</v>
      </c>
      <c r="K185" s="29">
        <v>1</v>
      </c>
      <c r="L185" s="136"/>
      <c r="M185" s="137">
        <v>5095</v>
      </c>
      <c r="N185" s="98">
        <f t="shared" si="44"/>
        <v>5095</v>
      </c>
      <c r="O185" s="99">
        <f t="shared" si="45"/>
        <v>1</v>
      </c>
      <c r="P185" s="89">
        <f t="shared" si="46"/>
        <v>101.9</v>
      </c>
      <c r="Q185" s="113">
        <f t="shared" si="47"/>
        <v>101.9</v>
      </c>
      <c r="R185" s="58">
        <f t="shared" si="48"/>
        <v>0.02</v>
      </c>
      <c r="S185" s="114">
        <f t="shared" si="49"/>
        <v>0.98</v>
      </c>
      <c r="T185" s="115">
        <f t="shared" si="50"/>
        <v>0.22</v>
      </c>
      <c r="U185" s="116">
        <v>0.06</v>
      </c>
      <c r="V185" s="117">
        <f t="shared" si="51"/>
        <v>0.18</v>
      </c>
      <c r="W185" s="117" t="str">
        <f t="shared" si="52"/>
        <v/>
      </c>
      <c r="X185" s="129"/>
      <c r="Y185" s="126">
        <f t="shared" si="53"/>
        <v>1</v>
      </c>
      <c r="Z185" s="29">
        <v>5913662942</v>
      </c>
    </row>
    <row r="186" spans="10:10">
      <c r="J186" s="19"/>
    </row>
    <row r="187" spans="10:10">
      <c r="J187" s="19"/>
    </row>
    <row r="188" spans="10:10">
      <c r="J188" s="19"/>
    </row>
    <row r="189" spans="10:10">
      <c r="J189" s="19"/>
    </row>
    <row r="190" spans="10:10">
      <c r="J190" s="19"/>
    </row>
    <row r="191" spans="10:10">
      <c r="J191" s="19"/>
    </row>
    <row r="192" spans="10:10">
      <c r="J192" s="19"/>
    </row>
    <row r="193" spans="10:10">
      <c r="J193" s="19"/>
    </row>
    <row r="194" spans="10:10">
      <c r="J194" s="19"/>
    </row>
    <row r="195" spans="10:10">
      <c r="J195" s="19"/>
    </row>
    <row r="196" spans="10:10">
      <c r="J196" s="19"/>
    </row>
    <row r="197" spans="10:10">
      <c r="J197" s="19"/>
    </row>
    <row r="198" spans="10:10">
      <c r="J198" s="19"/>
    </row>
  </sheetData>
  <autoFilter xmlns:etc="http://www.wps.cn/officeDocument/2017/etCustomData" ref="A3:AE185" etc:filterBottomFollowUsedRange="0">
    <extLst/>
  </autoFilter>
  <mergeCells count="3">
    <mergeCell ref="A1:R2"/>
    <mergeCell ref="S1:W2"/>
    <mergeCell ref="X1:Z2"/>
  </mergeCells>
  <conditionalFormatting sqref="V3">
    <cfRule type="expression" dxfId="1" priority="79">
      <formula>$V3&gt;$S3</formula>
    </cfRule>
  </conditionalFormatting>
  <conditionalFormatting sqref="W3">
    <cfRule type="cellIs" dxfId="0" priority="78" operator="lessThan">
      <formula>0</formula>
    </cfRule>
  </conditionalFormatting>
  <conditionalFormatting sqref="W4">
    <cfRule type="cellIs" dxfId="0" priority="76" operator="lessThan">
      <formula>0</formula>
    </cfRule>
  </conditionalFormatting>
  <conditionalFormatting sqref="W5">
    <cfRule type="cellIs" dxfId="0" priority="75" operator="lessThan">
      <formula>0</formula>
    </cfRule>
  </conditionalFormatting>
  <conditionalFormatting sqref="W6">
    <cfRule type="cellIs" dxfId="0" priority="74" operator="lessThan">
      <formula>0</formula>
    </cfRule>
  </conditionalFormatting>
  <conditionalFormatting sqref="W7">
    <cfRule type="cellIs" dxfId="0" priority="73" operator="lessThan">
      <formula>0</formula>
    </cfRule>
  </conditionalFormatting>
  <conditionalFormatting sqref="W8">
    <cfRule type="cellIs" dxfId="0" priority="72" operator="lessThan">
      <formula>0</formula>
    </cfRule>
  </conditionalFormatting>
  <conditionalFormatting sqref="W9">
    <cfRule type="cellIs" dxfId="0" priority="71" operator="lessThan">
      <formula>0</formula>
    </cfRule>
  </conditionalFormatting>
  <conditionalFormatting sqref="W10">
    <cfRule type="cellIs" dxfId="0" priority="70" operator="lessThan">
      <formula>0</formula>
    </cfRule>
  </conditionalFormatting>
  <conditionalFormatting sqref="W11">
    <cfRule type="cellIs" dxfId="0" priority="69" operator="lessThan">
      <formula>0</formula>
    </cfRule>
  </conditionalFormatting>
  <conditionalFormatting sqref="W12">
    <cfRule type="cellIs" dxfId="0" priority="68" operator="lessThan">
      <formula>0</formula>
    </cfRule>
  </conditionalFormatting>
  <conditionalFormatting sqref="W13">
    <cfRule type="cellIs" dxfId="0" priority="67" operator="lessThan">
      <formula>0</formula>
    </cfRule>
  </conditionalFormatting>
  <conditionalFormatting sqref="W14">
    <cfRule type="cellIs" dxfId="0" priority="66" operator="lessThan">
      <formula>0</formula>
    </cfRule>
  </conditionalFormatting>
  <conditionalFormatting sqref="W15">
    <cfRule type="cellIs" dxfId="0" priority="65" operator="lessThan">
      <formula>0</formula>
    </cfRule>
  </conditionalFormatting>
  <conditionalFormatting sqref="W16">
    <cfRule type="cellIs" dxfId="0" priority="64" operator="lessThan">
      <formula>0</formula>
    </cfRule>
  </conditionalFormatting>
  <conditionalFormatting sqref="W17">
    <cfRule type="cellIs" dxfId="0" priority="63" operator="lessThan">
      <formula>0</formula>
    </cfRule>
  </conditionalFormatting>
  <conditionalFormatting sqref="W18">
    <cfRule type="cellIs" dxfId="0" priority="62" operator="lessThan">
      <formula>0</formula>
    </cfRule>
  </conditionalFormatting>
  <conditionalFormatting sqref="W19">
    <cfRule type="cellIs" dxfId="0" priority="61" operator="lessThan">
      <formula>0</formula>
    </cfRule>
  </conditionalFormatting>
  <conditionalFormatting sqref="W20">
    <cfRule type="cellIs" dxfId="0" priority="60" operator="lessThan">
      <formula>0</formula>
    </cfRule>
  </conditionalFormatting>
  <conditionalFormatting sqref="W21">
    <cfRule type="cellIs" dxfId="0" priority="59" operator="lessThan">
      <formula>0</formula>
    </cfRule>
  </conditionalFormatting>
  <conditionalFormatting sqref="W22">
    <cfRule type="cellIs" dxfId="0" priority="58" operator="lessThan">
      <formula>0</formula>
    </cfRule>
  </conditionalFormatting>
  <conditionalFormatting sqref="W23">
    <cfRule type="cellIs" dxfId="0" priority="57" operator="lessThan">
      <formula>0</formula>
    </cfRule>
  </conditionalFormatting>
  <conditionalFormatting sqref="W24">
    <cfRule type="cellIs" dxfId="0" priority="56" operator="lessThan">
      <formula>0</formula>
    </cfRule>
  </conditionalFormatting>
  <conditionalFormatting sqref="W25">
    <cfRule type="cellIs" dxfId="0" priority="55" operator="lessThan">
      <formula>0</formula>
    </cfRule>
  </conditionalFormatting>
  <conditionalFormatting sqref="W26">
    <cfRule type="cellIs" dxfId="0" priority="54" operator="lessThan">
      <formula>0</formula>
    </cfRule>
  </conditionalFormatting>
  <conditionalFormatting sqref="W27">
    <cfRule type="cellIs" dxfId="0" priority="53" operator="lessThan">
      <formula>0</formula>
    </cfRule>
  </conditionalFormatting>
  <conditionalFormatting sqref="W28">
    <cfRule type="cellIs" dxfId="0" priority="52" operator="lessThan">
      <formula>0</formula>
    </cfRule>
  </conditionalFormatting>
  <conditionalFormatting sqref="W29">
    <cfRule type="cellIs" dxfId="0" priority="51" operator="lessThan">
      <formula>0</formula>
    </cfRule>
  </conditionalFormatting>
  <conditionalFormatting sqref="W30">
    <cfRule type="cellIs" dxfId="0" priority="50" operator="lessThan">
      <formula>0</formula>
    </cfRule>
  </conditionalFormatting>
  <conditionalFormatting sqref="W31">
    <cfRule type="cellIs" dxfId="0" priority="49" operator="lessThan">
      <formula>0</formula>
    </cfRule>
  </conditionalFormatting>
  <conditionalFormatting sqref="W32">
    <cfRule type="cellIs" dxfId="0" priority="48" operator="lessThan">
      <formula>0</formula>
    </cfRule>
  </conditionalFormatting>
  <conditionalFormatting sqref="W33">
    <cfRule type="cellIs" dxfId="0" priority="47" operator="lessThan">
      <formula>0</formula>
    </cfRule>
  </conditionalFormatting>
  <conditionalFormatting sqref="W34">
    <cfRule type="cellIs" dxfId="0" priority="46" operator="lessThan">
      <formula>0</formula>
    </cfRule>
  </conditionalFormatting>
  <conditionalFormatting sqref="W35">
    <cfRule type="cellIs" dxfId="0" priority="45" operator="lessThan">
      <formula>0</formula>
    </cfRule>
  </conditionalFormatting>
  <conditionalFormatting sqref="W36">
    <cfRule type="cellIs" dxfId="0" priority="44" operator="lessThan">
      <formula>0</formula>
    </cfRule>
  </conditionalFormatting>
  <conditionalFormatting sqref="W37">
    <cfRule type="cellIs" dxfId="0" priority="43" operator="lessThan">
      <formula>0</formula>
    </cfRule>
  </conditionalFormatting>
  <conditionalFormatting sqref="W38">
    <cfRule type="cellIs" dxfId="0" priority="42" operator="lessThan">
      <formula>0</formula>
    </cfRule>
  </conditionalFormatting>
  <conditionalFormatting sqref="W39">
    <cfRule type="cellIs" dxfId="0" priority="41" operator="lessThan">
      <formula>0</formula>
    </cfRule>
  </conditionalFormatting>
  <conditionalFormatting sqref="W40">
    <cfRule type="cellIs" dxfId="0" priority="40" operator="lessThan">
      <formula>0</formula>
    </cfRule>
  </conditionalFormatting>
  <conditionalFormatting sqref="W41">
    <cfRule type="cellIs" dxfId="0" priority="39" operator="lessThan">
      <formula>0</formula>
    </cfRule>
  </conditionalFormatting>
  <conditionalFormatting sqref="W42">
    <cfRule type="cellIs" dxfId="0" priority="38" operator="lessThan">
      <formula>0</formula>
    </cfRule>
  </conditionalFormatting>
  <conditionalFormatting sqref="W43">
    <cfRule type="cellIs" dxfId="0" priority="37" operator="lessThan">
      <formula>0</formula>
    </cfRule>
  </conditionalFormatting>
  <conditionalFormatting sqref="W44">
    <cfRule type="cellIs" dxfId="0" priority="36" operator="lessThan">
      <formula>0</formula>
    </cfRule>
  </conditionalFormatting>
  <conditionalFormatting sqref="W45">
    <cfRule type="cellIs" dxfId="0" priority="35" operator="lessThan">
      <formula>0</formula>
    </cfRule>
  </conditionalFormatting>
  <conditionalFormatting sqref="W46">
    <cfRule type="cellIs" dxfId="0" priority="34" operator="lessThan">
      <formula>0</formula>
    </cfRule>
  </conditionalFormatting>
  <conditionalFormatting sqref="W47">
    <cfRule type="cellIs" dxfId="0" priority="33" operator="lessThan">
      <formula>0</formula>
    </cfRule>
  </conditionalFormatting>
  <conditionalFormatting sqref="W48">
    <cfRule type="cellIs" dxfId="0" priority="32" operator="lessThan">
      <formula>0</formula>
    </cfRule>
  </conditionalFormatting>
  <conditionalFormatting sqref="W49">
    <cfRule type="cellIs" dxfId="0" priority="31" operator="lessThan">
      <formula>0</formula>
    </cfRule>
  </conditionalFormatting>
  <conditionalFormatting sqref="W50">
    <cfRule type="cellIs" dxfId="0" priority="30" operator="lessThan">
      <formula>0</formula>
    </cfRule>
  </conditionalFormatting>
  <conditionalFormatting sqref="W51">
    <cfRule type="cellIs" dxfId="0" priority="29" operator="lessThan">
      <formula>0</formula>
    </cfRule>
  </conditionalFormatting>
  <conditionalFormatting sqref="W52">
    <cfRule type="cellIs" dxfId="0" priority="28" operator="lessThan">
      <formula>0</formula>
    </cfRule>
  </conditionalFormatting>
  <conditionalFormatting sqref="W53">
    <cfRule type="cellIs" dxfId="0" priority="27" operator="lessThan">
      <formula>0</formula>
    </cfRule>
  </conditionalFormatting>
  <conditionalFormatting sqref="W54">
    <cfRule type="cellIs" dxfId="0" priority="26" operator="lessThan">
      <formula>0</formula>
    </cfRule>
  </conditionalFormatting>
  <conditionalFormatting sqref="W55">
    <cfRule type="cellIs" dxfId="0" priority="25" operator="lessThan">
      <formula>0</formula>
    </cfRule>
  </conditionalFormatting>
  <conditionalFormatting sqref="W56">
    <cfRule type="cellIs" dxfId="0" priority="24" operator="lessThan">
      <formula>0</formula>
    </cfRule>
  </conditionalFormatting>
  <conditionalFormatting sqref="W57">
    <cfRule type="cellIs" dxfId="0" priority="23" operator="lessThan">
      <formula>0</formula>
    </cfRule>
  </conditionalFormatting>
  <conditionalFormatting sqref="W58">
    <cfRule type="cellIs" dxfId="0" priority="22" operator="lessThan">
      <formula>0</formula>
    </cfRule>
  </conditionalFormatting>
  <conditionalFormatting sqref="W59">
    <cfRule type="cellIs" dxfId="0" priority="21" operator="lessThan">
      <formula>0</formula>
    </cfRule>
  </conditionalFormatting>
  <conditionalFormatting sqref="W60">
    <cfRule type="cellIs" dxfId="0" priority="20" operator="lessThan">
      <formula>0</formula>
    </cfRule>
  </conditionalFormatting>
  <conditionalFormatting sqref="W61">
    <cfRule type="cellIs" dxfId="0" priority="19" operator="lessThan">
      <formula>0</formula>
    </cfRule>
  </conditionalFormatting>
  <conditionalFormatting sqref="W62">
    <cfRule type="cellIs" dxfId="0" priority="18" operator="lessThan">
      <formula>0</formula>
    </cfRule>
  </conditionalFormatting>
  <conditionalFormatting sqref="W63">
    <cfRule type="cellIs" dxfId="0" priority="17" operator="lessThan">
      <formula>0</formula>
    </cfRule>
  </conditionalFormatting>
  <conditionalFormatting sqref="W64">
    <cfRule type="cellIs" dxfId="0" priority="16" operator="lessThan">
      <formula>0</formula>
    </cfRule>
  </conditionalFormatting>
  <conditionalFormatting sqref="W65">
    <cfRule type="cellIs" dxfId="0" priority="15" operator="lessThan">
      <formula>0</formula>
    </cfRule>
  </conditionalFormatting>
  <conditionalFormatting sqref="W66">
    <cfRule type="cellIs" dxfId="0" priority="14" operator="lessThan">
      <formula>0</formula>
    </cfRule>
  </conditionalFormatting>
  <conditionalFormatting sqref="W67">
    <cfRule type="cellIs" dxfId="0" priority="13" operator="lessThan">
      <formula>0</formula>
    </cfRule>
  </conditionalFormatting>
  <conditionalFormatting sqref="W68">
    <cfRule type="cellIs" dxfId="0" priority="12" operator="lessThan">
      <formula>0</formula>
    </cfRule>
  </conditionalFormatting>
  <conditionalFormatting sqref="W69">
    <cfRule type="cellIs" dxfId="0" priority="11" operator="lessThan">
      <formula>0</formula>
    </cfRule>
  </conditionalFormatting>
  <conditionalFormatting sqref="W70">
    <cfRule type="cellIs" dxfId="0" priority="10" operator="lessThan">
      <formula>0</formula>
    </cfRule>
  </conditionalFormatting>
  <conditionalFormatting sqref="W71">
    <cfRule type="cellIs" dxfId="0" priority="9" operator="lessThan">
      <formula>0</formula>
    </cfRule>
  </conditionalFormatting>
  <conditionalFormatting sqref="W72">
    <cfRule type="cellIs" dxfId="0" priority="8" operator="lessThan">
      <formula>0</formula>
    </cfRule>
  </conditionalFormatting>
  <conditionalFormatting sqref="W73">
    <cfRule type="cellIs" dxfId="0" priority="7" operator="lessThan">
      <formula>0</formula>
    </cfRule>
  </conditionalFormatting>
  <conditionalFormatting sqref="W74">
    <cfRule type="cellIs" dxfId="0" priority="6" operator="lessThan">
      <formula>0</formula>
    </cfRule>
  </conditionalFormatting>
  <conditionalFormatting sqref="W75 W80 W85 W90 W95 W100 W105 W110 W115 W120 W125 W130 W135 W140 W145 W150 W155 W160 W165 W170 W175 W180 W185">
    <cfRule type="cellIs" dxfId="0" priority="5" operator="lessThan">
      <formula>0</formula>
    </cfRule>
  </conditionalFormatting>
  <conditionalFormatting sqref="W76 W81 W86 W91 W96 W101 W106 W111 W116 W121 W126 W131 W136 W141 W146 W151 W156 W161 W166 W171 W176 W181">
    <cfRule type="cellIs" dxfId="0" priority="4" operator="lessThan">
      <formula>0</formula>
    </cfRule>
  </conditionalFormatting>
  <conditionalFormatting sqref="W77 W82 W87 W92 W97 W102 W107 W112 W117 W122 W127 W132 W137 W142 W147 W152 W157 W162 W167 W172 W177 W182">
    <cfRule type="cellIs" dxfId="0" priority="3" operator="lessThan">
      <formula>0</formula>
    </cfRule>
  </conditionalFormatting>
  <conditionalFormatting sqref="W78 W83 W88 W93 W98 W103 W108 W113 W118 W123 W128 W133 W138 W143 W148 W153 W158 W163 W168 W173 W178 W183">
    <cfRule type="cellIs" dxfId="0" priority="2" operator="lessThan">
      <formula>0</formula>
    </cfRule>
  </conditionalFormatting>
  <conditionalFormatting sqref="W79 W84 W89 W94 W99 W104 W109 W114 W119 W124 W129 W134 W139 W144 W149 W154 W159 W164 W169 W174 W179 W184">
    <cfRule type="cellIs" dxfId="0" priority="1" operator="lessThan">
      <formula>0</formula>
    </cfRule>
  </conditionalFormatting>
  <dataValidations count="1">
    <dataValidation type="list" allowBlank="1" showInputMessage="1" showErrorMessage="1" sqref="C1:C185">
      <formula1>"深圳福达通,康为,新浪潮,湖南飞英达,志奋领"</formula1>
    </dataValidation>
  </dataValidation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23"/>
  <sheetViews>
    <sheetView tabSelected="1" zoomScale="55" zoomScaleNormal="55" workbookViewId="0">
      <pane ySplit="3" topLeftCell="A6" activePane="bottomLeft" state="frozen"/>
      <selection/>
      <selection pane="bottomLeft" activeCell="C12" sqref="C12:C13"/>
    </sheetView>
  </sheetViews>
  <sheetFormatPr defaultColWidth="9" defaultRowHeight="12"/>
  <cols>
    <col min="1" max="2" width="9" style="17" customWidth="1"/>
    <col min="3" max="3" width="12.25" style="17" customWidth="1"/>
    <col min="4" max="4" width="5.975" style="17" customWidth="1"/>
    <col min="5" max="5" width="20.1083333333333" style="18" customWidth="1"/>
    <col min="6" max="6" width="6.76666666666667" style="17" customWidth="1"/>
    <col min="7" max="7" width="5" style="17" customWidth="1"/>
    <col min="8" max="8" width="6.275" style="17" customWidth="1"/>
    <col min="9" max="9" width="4.9" style="17" customWidth="1"/>
    <col min="10" max="10" width="30.3916666666667" style="19" customWidth="1"/>
    <col min="11" max="11" width="6.075" style="20" customWidth="1"/>
    <col min="12" max="12" width="9" style="21"/>
    <col min="13" max="13" width="9.66666666666667" style="21"/>
    <col min="14" max="14" width="8.45" style="17" customWidth="1"/>
    <col min="15" max="15" width="9" style="17"/>
    <col min="16" max="16" width="9.41666666666667" style="17" customWidth="1"/>
    <col min="17" max="17" width="5.88333333333333" style="17" customWidth="1"/>
    <col min="18" max="18" width="5.38333333333333" style="17" customWidth="1"/>
    <col min="19" max="19" width="6.56666666666667" style="17" customWidth="1"/>
    <col min="20" max="20" width="5.775" style="17" customWidth="1"/>
    <col min="21" max="21" width="4.99166666666667" style="17" customWidth="1"/>
    <col min="22" max="22" width="8.13333333333333" style="17" customWidth="1"/>
    <col min="23" max="25" width="9" style="17" customWidth="1"/>
    <col min="26" max="26" width="20.875" style="17" customWidth="1"/>
    <col min="27" max="27" width="20.8333333333333" style="17" customWidth="1"/>
    <col min="28" max="28" width="16.7583333333333" style="17" customWidth="1"/>
    <col min="29" max="16384" width="9" style="17"/>
  </cols>
  <sheetData>
    <row r="1" ht="14.25" customHeight="1" spans="1:28">
      <c r="A1" s="22" t="s">
        <v>0</v>
      </c>
      <c r="B1" s="22"/>
      <c r="C1" s="22"/>
      <c r="D1" s="22"/>
      <c r="E1" s="22"/>
      <c r="F1" s="22"/>
      <c r="G1" s="22"/>
      <c r="H1" s="23"/>
      <c r="I1" s="22"/>
      <c r="J1" s="35"/>
      <c r="K1" s="22"/>
      <c r="L1" s="36"/>
      <c r="M1" s="36"/>
      <c r="N1" s="22"/>
      <c r="O1" s="37"/>
      <c r="P1" s="22"/>
      <c r="Q1" s="22"/>
      <c r="R1" s="22"/>
      <c r="S1" s="44" t="s">
        <v>353</v>
      </c>
      <c r="T1" s="44"/>
      <c r="U1" s="45"/>
      <c r="V1" s="46"/>
      <c r="W1" s="45"/>
      <c r="X1" s="47" t="s">
        <v>1</v>
      </c>
      <c r="Y1" s="26"/>
      <c r="Z1" s="26"/>
      <c r="AA1" s="20"/>
      <c r="AB1" s="64"/>
    </row>
    <row r="2" ht="14.25" customHeight="1" spans="1:28">
      <c r="A2" s="22"/>
      <c r="B2" s="22"/>
      <c r="C2" s="22"/>
      <c r="D2" s="22"/>
      <c r="E2" s="22"/>
      <c r="F2" s="22"/>
      <c r="G2" s="22"/>
      <c r="H2" s="23"/>
      <c r="I2" s="22"/>
      <c r="J2" s="35"/>
      <c r="K2" s="22"/>
      <c r="L2" s="36"/>
      <c r="M2" s="36"/>
      <c r="N2" s="22"/>
      <c r="O2" s="37"/>
      <c r="P2" s="22"/>
      <c r="Q2" s="22"/>
      <c r="R2" s="22"/>
      <c r="S2" s="48"/>
      <c r="T2" s="48"/>
      <c r="U2" s="49"/>
      <c r="V2" s="50"/>
      <c r="W2" s="51"/>
      <c r="X2" s="52"/>
      <c r="Y2" s="65"/>
      <c r="Z2" s="65"/>
      <c r="AB2" s="64"/>
    </row>
    <row r="3" s="16" customFormat="1" ht="29" customHeight="1" spans="1:31">
      <c r="A3" s="24" t="s">
        <v>2</v>
      </c>
      <c r="B3" s="24" t="s">
        <v>3</v>
      </c>
      <c r="C3" s="25" t="s">
        <v>354</v>
      </c>
      <c r="D3" s="25" t="s">
        <v>4</v>
      </c>
      <c r="E3" s="26" t="s">
        <v>5</v>
      </c>
      <c r="F3" s="25" t="s">
        <v>6</v>
      </c>
      <c r="G3" s="25" t="s">
        <v>7</v>
      </c>
      <c r="H3" s="27" t="s">
        <v>8</v>
      </c>
      <c r="I3" s="25" t="s">
        <v>9</v>
      </c>
      <c r="J3" s="24" t="s">
        <v>10</v>
      </c>
      <c r="K3" s="25" t="s">
        <v>11</v>
      </c>
      <c r="L3" s="38" t="s">
        <v>12</v>
      </c>
      <c r="M3" s="38" t="s">
        <v>13</v>
      </c>
      <c r="N3" s="24" t="s">
        <v>14</v>
      </c>
      <c r="O3" s="39" t="s">
        <v>15</v>
      </c>
      <c r="P3" s="24" t="s">
        <v>16</v>
      </c>
      <c r="Q3" s="24" t="s">
        <v>552</v>
      </c>
      <c r="R3" s="24" t="s">
        <v>18</v>
      </c>
      <c r="S3" s="53" t="s">
        <v>355</v>
      </c>
      <c r="T3" s="53" t="s">
        <v>356</v>
      </c>
      <c r="U3" s="53" t="s">
        <v>357</v>
      </c>
      <c r="V3" s="54" t="s">
        <v>358</v>
      </c>
      <c r="W3" s="55" t="s">
        <v>359</v>
      </c>
      <c r="X3" s="56" t="s">
        <v>19</v>
      </c>
      <c r="Y3" s="24" t="s">
        <v>20</v>
      </c>
      <c r="Z3" s="66" t="s">
        <v>21</v>
      </c>
      <c r="AA3" s="26" t="s">
        <v>360</v>
      </c>
      <c r="AB3" s="67" t="s">
        <v>22</v>
      </c>
      <c r="AE3" s="16" t="s">
        <v>23</v>
      </c>
    </row>
    <row r="4" ht="21" customHeight="1" spans="1:28">
      <c r="A4" s="28"/>
      <c r="B4" s="28"/>
      <c r="C4" s="29" t="s">
        <v>361</v>
      </c>
      <c r="D4" s="29" t="s">
        <v>98</v>
      </c>
      <c r="E4" s="29" t="s">
        <v>553</v>
      </c>
      <c r="F4" s="29" t="s">
        <v>352</v>
      </c>
      <c r="G4" s="29" t="s">
        <v>554</v>
      </c>
      <c r="H4" s="30"/>
      <c r="I4" s="29"/>
      <c r="J4" s="40" t="s">
        <v>269</v>
      </c>
      <c r="K4" s="29">
        <v>90</v>
      </c>
      <c r="L4" s="41">
        <v>2674.87</v>
      </c>
      <c r="M4" s="41">
        <v>3585</v>
      </c>
      <c r="N4" s="41">
        <f t="shared" ref="N4:N6" si="0">M4-L4</f>
        <v>910.13</v>
      </c>
      <c r="O4" s="42">
        <f t="shared" ref="O4:O6" si="1">IF(AND($N4&lt;&gt;0,$M4&lt;&gt;0),$N4/$M4,"")</f>
        <v>0.253871687587169</v>
      </c>
      <c r="P4" s="28">
        <f>M4*0.02</f>
        <v>71.7</v>
      </c>
      <c r="Q4" s="57">
        <f t="shared" ref="Q4:Q6" si="2">P4*K4</f>
        <v>6453</v>
      </c>
      <c r="R4" s="58">
        <f t="shared" ref="R4:R6" si="3">IF(AND($P4&lt;&gt;0,$M4&lt;&gt;0),$P4/$M4,"")</f>
        <v>0.02</v>
      </c>
      <c r="S4" s="59">
        <f t="shared" ref="S4:S6" si="4">IF(AND(($N4*$K4-$Q4)&lt;&gt;0,($M4*$K4)&lt;&gt;0),($N4*$K4-$Q4)/($M4*$K4),"")</f>
        <v>0.233871687587169</v>
      </c>
      <c r="T4" s="60">
        <f t="shared" ref="T4:T6" si="5">IF($C4="深圳福达通",22%,IF($C4="康为",26%,IF($C4="新浪潮",26%,IF($C4="湖南飞英达",25%,IF($C4="志奋领",26%)))))</f>
        <v>0.22</v>
      </c>
      <c r="U4" s="61">
        <v>0.06</v>
      </c>
      <c r="V4" s="62">
        <f t="shared" ref="V4:V6" si="6">IF(T4-U4+R4&gt;0,T4-U4+R4,IF(T4-U4+R4=0,""))</f>
        <v>0.18</v>
      </c>
      <c r="W4" s="62" t="str">
        <f t="shared" ref="W4:W6" si="7">IF(S4-V4&lt;0,S4-V4,IF(S4-V4&gt;0,""))</f>
        <v/>
      </c>
      <c r="X4" s="63" t="str">
        <f>IFERROR(SUMIF(#REF!,$A4,#REF!),"")</f>
        <v/>
      </c>
      <c r="Y4" s="68" t="e">
        <f t="shared" ref="Y4:Y6" si="8">IF(AND(($N4*$K4-$X4)&lt;&gt;0,($M4*$K4)&lt;&gt;0),($N4*$K4-$X4)/($M4*$K4),"")</f>
        <v>#VALUE!</v>
      </c>
      <c r="Z4" s="69">
        <v>4100162713</v>
      </c>
      <c r="AA4" s="70"/>
      <c r="AB4" s="71" t="e">
        <f>X4-Q4</f>
        <v>#VALUE!</v>
      </c>
    </row>
    <row r="5" ht="37" customHeight="1" spans="1:27">
      <c r="A5" s="31"/>
      <c r="B5" s="31"/>
      <c r="C5" s="29" t="s">
        <v>361</v>
      </c>
      <c r="D5" s="29" t="s">
        <v>98</v>
      </c>
      <c r="E5" s="32" t="s">
        <v>338</v>
      </c>
      <c r="F5" s="31" t="s">
        <v>701</v>
      </c>
      <c r="G5" s="31"/>
      <c r="H5" s="33">
        <v>45376</v>
      </c>
      <c r="I5" s="31"/>
      <c r="J5" s="24" t="s">
        <v>702</v>
      </c>
      <c r="K5" s="26">
        <v>1</v>
      </c>
      <c r="L5" s="43">
        <v>4915.39</v>
      </c>
      <c r="M5" s="43">
        <v>5752.212</v>
      </c>
      <c r="N5" s="41">
        <f t="shared" si="0"/>
        <v>836.822</v>
      </c>
      <c r="O5" s="42">
        <f t="shared" si="1"/>
        <v>0.145478296001608</v>
      </c>
      <c r="P5" s="31">
        <v>545</v>
      </c>
      <c r="Q5" s="57">
        <f t="shared" si="2"/>
        <v>545</v>
      </c>
      <c r="R5" s="58">
        <f t="shared" si="3"/>
        <v>0.0947461602597401</v>
      </c>
      <c r="S5" s="59">
        <f t="shared" si="4"/>
        <v>0.0507321357418677</v>
      </c>
      <c r="T5" s="60">
        <f t="shared" si="5"/>
        <v>0.22</v>
      </c>
      <c r="U5" s="61">
        <v>0.06</v>
      </c>
      <c r="V5" s="62">
        <f t="shared" si="6"/>
        <v>0.25474616025974</v>
      </c>
      <c r="W5" s="62">
        <f t="shared" si="7"/>
        <v>-0.204014024517872</v>
      </c>
      <c r="X5" s="31"/>
      <c r="Y5" s="68">
        <f t="shared" si="8"/>
        <v>0.145478296001608</v>
      </c>
      <c r="Z5" s="69" t="s">
        <v>703</v>
      </c>
      <c r="AA5" s="31" t="s">
        <v>704</v>
      </c>
    </row>
    <row r="6" ht="37" customHeight="1" spans="1:27">
      <c r="A6" s="31"/>
      <c r="B6" s="31"/>
      <c r="C6" s="29" t="s">
        <v>361</v>
      </c>
      <c r="D6" s="29" t="s">
        <v>98</v>
      </c>
      <c r="E6" s="32" t="s">
        <v>338</v>
      </c>
      <c r="F6" s="31" t="s">
        <v>701</v>
      </c>
      <c r="G6" s="31"/>
      <c r="H6" s="33">
        <v>45555</v>
      </c>
      <c r="I6" s="31"/>
      <c r="J6" s="24" t="s">
        <v>705</v>
      </c>
      <c r="K6" s="26">
        <v>2</v>
      </c>
      <c r="L6" s="43">
        <v>3929.2</v>
      </c>
      <c r="M6" s="43">
        <v>5309.73</v>
      </c>
      <c r="N6" s="41">
        <f t="shared" si="0"/>
        <v>1380.53</v>
      </c>
      <c r="O6" s="42">
        <f t="shared" si="1"/>
        <v>0.260000037666699</v>
      </c>
      <c r="P6" s="31">
        <v>720</v>
      </c>
      <c r="Q6" s="57">
        <f t="shared" si="2"/>
        <v>1440</v>
      </c>
      <c r="R6" s="58">
        <f t="shared" si="3"/>
        <v>0.135600115260098</v>
      </c>
      <c r="S6" s="59">
        <f t="shared" si="4"/>
        <v>0.124399922406601</v>
      </c>
      <c r="T6" s="60">
        <f t="shared" si="5"/>
        <v>0.22</v>
      </c>
      <c r="U6" s="61">
        <v>0.06</v>
      </c>
      <c r="V6" s="62">
        <f t="shared" si="6"/>
        <v>0.295600115260098</v>
      </c>
      <c r="W6" s="62">
        <f t="shared" si="7"/>
        <v>-0.171200192853497</v>
      </c>
      <c r="X6" s="31"/>
      <c r="Y6" s="68">
        <f t="shared" si="8"/>
        <v>0.260000037666699</v>
      </c>
      <c r="Z6" s="69" t="s">
        <v>706</v>
      </c>
      <c r="AA6" s="31" t="s">
        <v>707</v>
      </c>
    </row>
    <row r="7" ht="37" customHeight="1" spans="1:27">
      <c r="A7" s="31"/>
      <c r="B7" s="31"/>
      <c r="C7" s="29" t="s">
        <v>361</v>
      </c>
      <c r="D7" s="29" t="s">
        <v>98</v>
      </c>
      <c r="E7" s="32" t="s">
        <v>708</v>
      </c>
      <c r="F7" s="31" t="s">
        <v>206</v>
      </c>
      <c r="G7" s="31"/>
      <c r="H7" s="33">
        <v>45378</v>
      </c>
      <c r="I7" s="31"/>
      <c r="J7" s="24" t="s">
        <v>709</v>
      </c>
      <c r="K7" s="26">
        <v>10</v>
      </c>
      <c r="L7" s="43">
        <v>2999</v>
      </c>
      <c r="M7" s="43">
        <v>4424</v>
      </c>
      <c r="N7" s="41">
        <f t="shared" ref="N7:N15" si="9">M7-L7</f>
        <v>1425</v>
      </c>
      <c r="O7" s="42">
        <f t="shared" ref="O7:O15" si="10">IF(AND($N7&lt;&gt;0,$M7&lt;&gt;0),$N7/$M7,"")</f>
        <v>0.322106690777577</v>
      </c>
      <c r="P7" s="31">
        <v>563</v>
      </c>
      <c r="Q7" s="57">
        <f t="shared" ref="Q7:Q15" si="11">P7*K7</f>
        <v>5630</v>
      </c>
      <c r="R7" s="58">
        <f t="shared" ref="R7:R16" si="12">IF(AND($P7&lt;&gt;0,$M7&lt;&gt;0),$P7/$M7,"")</f>
        <v>0.127260397830018</v>
      </c>
      <c r="S7" s="59">
        <f t="shared" ref="S7:S16" si="13">IF(AND(($N7*$K7-$Q7)&lt;&gt;0,($M7*$K7)&lt;&gt;0),($N7*$K7-$Q7)/($M7*$K7),"")</f>
        <v>0.194846292947559</v>
      </c>
      <c r="T7" s="60">
        <f t="shared" ref="T7:T15" si="14">IF($C7="深圳福达通",22%,IF($C7="康为",26%,IF($C7="新浪潮",26%,IF($C7="湖南飞英达",25%,IF($C7="志奋领",26%)))))</f>
        <v>0.22</v>
      </c>
      <c r="U7" s="61">
        <v>0.06</v>
      </c>
      <c r="V7" s="62">
        <f t="shared" ref="V7:V15" si="15">IF(T7-U7+R7&gt;0,T7-U7+R7,IF(T7-U7+R7=0,""))</f>
        <v>0.287260397830018</v>
      </c>
      <c r="W7" s="31"/>
      <c r="X7" s="31"/>
      <c r="Y7" s="68">
        <f t="shared" ref="Y7:Y16" si="16">IF(AND(($N7*$K7-$X7)&lt;&gt;0,($M7*$K7)&lt;&gt;0),($N7*$K7-$X7)/($M7*$K7),"")</f>
        <v>0.322106690777577</v>
      </c>
      <c r="Z7" s="72" t="s">
        <v>710</v>
      </c>
      <c r="AA7" s="73" t="s">
        <v>711</v>
      </c>
    </row>
    <row r="8" ht="37" customHeight="1" spans="1:27">
      <c r="A8" s="31"/>
      <c r="B8" s="31"/>
      <c r="C8" s="29" t="s">
        <v>361</v>
      </c>
      <c r="D8" s="29" t="s">
        <v>98</v>
      </c>
      <c r="E8" s="32" t="s">
        <v>708</v>
      </c>
      <c r="F8" s="31" t="s">
        <v>206</v>
      </c>
      <c r="G8" s="31"/>
      <c r="H8" s="33">
        <v>45406</v>
      </c>
      <c r="I8" s="31"/>
      <c r="J8" s="24" t="s">
        <v>712</v>
      </c>
      <c r="K8" s="26">
        <v>10</v>
      </c>
      <c r="L8" s="43">
        <v>707.96</v>
      </c>
      <c r="M8" s="43">
        <v>1106.19</v>
      </c>
      <c r="N8" s="41">
        <f t="shared" si="9"/>
        <v>398.23</v>
      </c>
      <c r="O8" s="42">
        <f t="shared" si="10"/>
        <v>0.360001446406133</v>
      </c>
      <c r="P8" s="31">
        <v>309.73</v>
      </c>
      <c r="Q8" s="57">
        <f t="shared" si="11"/>
        <v>3097.3</v>
      </c>
      <c r="R8" s="58">
        <f t="shared" si="12"/>
        <v>0.279997107187734</v>
      </c>
      <c r="S8" s="59">
        <f t="shared" si="13"/>
        <v>0.0800043392183983</v>
      </c>
      <c r="T8" s="60">
        <f t="shared" si="14"/>
        <v>0.22</v>
      </c>
      <c r="U8" s="61">
        <v>0.06</v>
      </c>
      <c r="V8" s="62">
        <f t="shared" si="15"/>
        <v>0.439997107187734</v>
      </c>
      <c r="W8" s="31"/>
      <c r="X8" s="31"/>
      <c r="Y8" s="68">
        <f t="shared" si="16"/>
        <v>0.360001446406133</v>
      </c>
      <c r="Z8" s="72" t="s">
        <v>713</v>
      </c>
      <c r="AA8" s="73" t="s">
        <v>714</v>
      </c>
    </row>
    <row r="9" ht="37" customHeight="1" spans="1:27">
      <c r="A9" s="31"/>
      <c r="B9" s="31"/>
      <c r="C9" s="29" t="s">
        <v>361</v>
      </c>
      <c r="D9" s="29" t="s">
        <v>98</v>
      </c>
      <c r="E9" s="32" t="s">
        <v>708</v>
      </c>
      <c r="F9" s="31" t="s">
        <v>206</v>
      </c>
      <c r="G9" s="31"/>
      <c r="H9" s="33">
        <v>45530</v>
      </c>
      <c r="I9" s="31"/>
      <c r="J9" s="24" t="s">
        <v>709</v>
      </c>
      <c r="K9" s="26">
        <v>10</v>
      </c>
      <c r="L9" s="43">
        <v>2889.7</v>
      </c>
      <c r="M9" s="43">
        <v>4424</v>
      </c>
      <c r="N9" s="41">
        <f t="shared" si="9"/>
        <v>1534.3</v>
      </c>
      <c r="O9" s="42">
        <f t="shared" si="10"/>
        <v>0.346812839059675</v>
      </c>
      <c r="P9" s="31">
        <v>676.99</v>
      </c>
      <c r="Q9" s="57">
        <f t="shared" si="11"/>
        <v>6769.9</v>
      </c>
      <c r="R9" s="58">
        <f t="shared" si="12"/>
        <v>0.153026672694394</v>
      </c>
      <c r="S9" s="59">
        <f t="shared" si="13"/>
        <v>0.19378616636528</v>
      </c>
      <c r="T9" s="60">
        <f t="shared" si="14"/>
        <v>0.22</v>
      </c>
      <c r="U9" s="61">
        <v>0.06</v>
      </c>
      <c r="V9" s="62">
        <f t="shared" si="15"/>
        <v>0.313026672694394</v>
      </c>
      <c r="W9" s="31"/>
      <c r="X9" s="31"/>
      <c r="Y9" s="68">
        <f t="shared" si="16"/>
        <v>0.346812839059675</v>
      </c>
      <c r="Z9" s="72" t="s">
        <v>715</v>
      </c>
      <c r="AA9" s="73" t="s">
        <v>716</v>
      </c>
    </row>
    <row r="10" ht="37" customHeight="1" spans="1:27">
      <c r="A10" s="31"/>
      <c r="B10" s="31"/>
      <c r="C10" s="29" t="s">
        <v>361</v>
      </c>
      <c r="D10" s="29" t="s">
        <v>98</v>
      </c>
      <c r="E10" s="32" t="s">
        <v>708</v>
      </c>
      <c r="F10" s="31" t="s">
        <v>206</v>
      </c>
      <c r="G10" s="31"/>
      <c r="H10" s="33">
        <v>45530</v>
      </c>
      <c r="I10" s="31"/>
      <c r="J10" s="24" t="s">
        <v>712</v>
      </c>
      <c r="K10" s="26">
        <v>10</v>
      </c>
      <c r="L10" s="43">
        <v>707.96</v>
      </c>
      <c r="M10" s="43">
        <v>1106.19</v>
      </c>
      <c r="N10" s="41">
        <f t="shared" si="9"/>
        <v>398.23</v>
      </c>
      <c r="O10" s="42">
        <f t="shared" si="10"/>
        <v>0.360001446406133</v>
      </c>
      <c r="P10" s="31">
        <v>309.73</v>
      </c>
      <c r="Q10" s="57">
        <f t="shared" si="11"/>
        <v>3097.3</v>
      </c>
      <c r="R10" s="58">
        <f t="shared" si="12"/>
        <v>0.279997107187734</v>
      </c>
      <c r="S10" s="59">
        <f t="shared" si="13"/>
        <v>0.0800043392183983</v>
      </c>
      <c r="T10" s="60">
        <f t="shared" si="14"/>
        <v>0.22</v>
      </c>
      <c r="U10" s="61">
        <v>0.06</v>
      </c>
      <c r="V10" s="62">
        <f t="shared" si="15"/>
        <v>0.439997107187734</v>
      </c>
      <c r="W10" s="31"/>
      <c r="X10" s="31"/>
      <c r="Y10" s="68">
        <f t="shared" si="16"/>
        <v>0.360001446406133</v>
      </c>
      <c r="Z10" s="72" t="s">
        <v>715</v>
      </c>
      <c r="AA10" s="73" t="s">
        <v>717</v>
      </c>
    </row>
    <row r="11" ht="37" customHeight="1" spans="1:27">
      <c r="A11" s="31"/>
      <c r="B11" s="31"/>
      <c r="C11" s="29" t="s">
        <v>361</v>
      </c>
      <c r="D11" s="29" t="s">
        <v>98</v>
      </c>
      <c r="E11" s="32" t="s">
        <v>708</v>
      </c>
      <c r="F11" s="31" t="s">
        <v>206</v>
      </c>
      <c r="G11" s="31"/>
      <c r="H11" s="33">
        <v>45547</v>
      </c>
      <c r="I11" s="31"/>
      <c r="J11" s="24" t="s">
        <v>718</v>
      </c>
      <c r="K11" s="26">
        <v>9</v>
      </c>
      <c r="L11" s="43">
        <v>3066.14</v>
      </c>
      <c r="M11" s="43">
        <v>5132.74</v>
      </c>
      <c r="N11" s="41">
        <f t="shared" si="9"/>
        <v>2066.6</v>
      </c>
      <c r="O11" s="42">
        <f t="shared" si="10"/>
        <v>0.402630953447866</v>
      </c>
      <c r="P11" s="31">
        <v>676.99</v>
      </c>
      <c r="Q11" s="57">
        <f t="shared" si="11"/>
        <v>6092.91</v>
      </c>
      <c r="R11" s="58">
        <f t="shared" si="12"/>
        <v>0.131896414001099</v>
      </c>
      <c r="S11" s="59">
        <f t="shared" si="13"/>
        <v>0.270734539446767</v>
      </c>
      <c r="T11" s="60">
        <f t="shared" si="14"/>
        <v>0.22</v>
      </c>
      <c r="U11" s="61">
        <v>0.06</v>
      </c>
      <c r="V11" s="62">
        <f t="shared" si="15"/>
        <v>0.291896414001099</v>
      </c>
      <c r="W11" s="31"/>
      <c r="X11" s="31"/>
      <c r="Y11" s="68">
        <f t="shared" si="16"/>
        <v>0.402630953447866</v>
      </c>
      <c r="Z11" s="72">
        <v>20240919052</v>
      </c>
      <c r="AA11" s="73" t="s">
        <v>719</v>
      </c>
    </row>
    <row r="12" ht="37" customHeight="1" spans="1:27">
      <c r="A12" s="31"/>
      <c r="B12" s="31"/>
      <c r="C12" s="29" t="s">
        <v>361</v>
      </c>
      <c r="D12" s="29" t="s">
        <v>98</v>
      </c>
      <c r="E12" s="32" t="s">
        <v>708</v>
      </c>
      <c r="F12" s="31" t="s">
        <v>206</v>
      </c>
      <c r="G12" s="31"/>
      <c r="H12" s="33">
        <v>45547</v>
      </c>
      <c r="I12" s="31"/>
      <c r="J12" s="24" t="s">
        <v>712</v>
      </c>
      <c r="K12" s="26">
        <v>10</v>
      </c>
      <c r="L12" s="43">
        <v>718.58</v>
      </c>
      <c r="M12" s="43">
        <v>1106.19</v>
      </c>
      <c r="N12" s="41">
        <f t="shared" si="9"/>
        <v>387.61</v>
      </c>
      <c r="O12" s="42">
        <f t="shared" si="10"/>
        <v>0.350400925699925</v>
      </c>
      <c r="P12" s="31">
        <v>309.73</v>
      </c>
      <c r="Q12" s="57">
        <f t="shared" si="11"/>
        <v>3097.3</v>
      </c>
      <c r="R12" s="58">
        <f t="shared" si="12"/>
        <v>0.279997107187734</v>
      </c>
      <c r="S12" s="59">
        <f t="shared" si="13"/>
        <v>0.0704038185121905</v>
      </c>
      <c r="T12" s="60">
        <f t="shared" si="14"/>
        <v>0.22</v>
      </c>
      <c r="U12" s="61">
        <v>0.06</v>
      </c>
      <c r="V12" s="62">
        <f t="shared" si="15"/>
        <v>0.439997107187734</v>
      </c>
      <c r="W12" s="31"/>
      <c r="X12" s="31"/>
      <c r="Y12" s="68">
        <f t="shared" si="16"/>
        <v>0.350400925699925</v>
      </c>
      <c r="Z12" s="72">
        <v>20240919052</v>
      </c>
      <c r="AA12" s="73" t="s">
        <v>720</v>
      </c>
    </row>
    <row r="13" ht="37" customHeight="1" spans="1:27">
      <c r="A13" s="31"/>
      <c r="B13" s="31"/>
      <c r="C13" s="29" t="s">
        <v>361</v>
      </c>
      <c r="D13" s="29" t="s">
        <v>98</v>
      </c>
      <c r="E13" s="32" t="s">
        <v>708</v>
      </c>
      <c r="F13" s="31" t="s">
        <v>206</v>
      </c>
      <c r="G13" s="31"/>
      <c r="H13" s="33">
        <v>45547</v>
      </c>
      <c r="I13" s="31"/>
      <c r="J13" s="24" t="s">
        <v>712</v>
      </c>
      <c r="K13" s="26">
        <v>5</v>
      </c>
      <c r="L13" s="43">
        <v>718.58</v>
      </c>
      <c r="M13" s="43">
        <v>1061.95</v>
      </c>
      <c r="N13" s="41">
        <f t="shared" si="9"/>
        <v>343.37</v>
      </c>
      <c r="O13" s="42">
        <f t="shared" si="10"/>
        <v>0.323339140260841</v>
      </c>
      <c r="P13" s="31">
        <v>309.73</v>
      </c>
      <c r="Q13" s="57">
        <f t="shared" si="11"/>
        <v>1548.65</v>
      </c>
      <c r="R13" s="58">
        <f t="shared" si="12"/>
        <v>0.291661565987099</v>
      </c>
      <c r="S13" s="59">
        <f t="shared" si="13"/>
        <v>0.0316775742737417</v>
      </c>
      <c r="T13" s="60">
        <f t="shared" si="14"/>
        <v>0.22</v>
      </c>
      <c r="U13" s="61">
        <v>0.06</v>
      </c>
      <c r="V13" s="62">
        <f t="shared" si="15"/>
        <v>0.451661565987099</v>
      </c>
      <c r="W13" s="31"/>
      <c r="X13" s="31"/>
      <c r="Y13" s="68">
        <f t="shared" si="16"/>
        <v>0.323339140260841</v>
      </c>
      <c r="Z13" s="72" t="s">
        <v>721</v>
      </c>
      <c r="AA13" s="73" t="s">
        <v>722</v>
      </c>
    </row>
    <row r="14" ht="37" customHeight="1" spans="1:27">
      <c r="A14" s="31"/>
      <c r="B14" s="31"/>
      <c r="C14" s="29" t="s">
        <v>361</v>
      </c>
      <c r="D14" s="29" t="s">
        <v>98</v>
      </c>
      <c r="E14" s="32" t="s">
        <v>723</v>
      </c>
      <c r="F14" s="31" t="s">
        <v>724</v>
      </c>
      <c r="G14" s="31"/>
      <c r="H14" s="34">
        <v>45372</v>
      </c>
      <c r="I14" s="32"/>
      <c r="J14" s="24" t="s">
        <v>725</v>
      </c>
      <c r="K14" s="26">
        <v>291</v>
      </c>
      <c r="L14" s="43">
        <v>371.68</v>
      </c>
      <c r="M14" s="43">
        <v>576.11</v>
      </c>
      <c r="N14" s="41">
        <f t="shared" si="9"/>
        <v>204.43</v>
      </c>
      <c r="O14" s="42">
        <f t="shared" si="10"/>
        <v>0.354845428824356</v>
      </c>
      <c r="P14" s="31">
        <f>M14*0.05</f>
        <v>28.8055</v>
      </c>
      <c r="Q14" s="57">
        <f t="shared" si="11"/>
        <v>8382.4005</v>
      </c>
      <c r="R14" s="58">
        <f t="shared" si="12"/>
        <v>0.05</v>
      </c>
      <c r="S14" s="59">
        <f t="shared" si="13"/>
        <v>0.304845428824356</v>
      </c>
      <c r="T14" s="60">
        <f t="shared" si="14"/>
        <v>0.22</v>
      </c>
      <c r="U14" s="61">
        <v>0.06</v>
      </c>
      <c r="V14" s="62">
        <f t="shared" si="15"/>
        <v>0.21</v>
      </c>
      <c r="W14" s="31"/>
      <c r="X14" s="31"/>
      <c r="Y14" s="68">
        <f t="shared" si="16"/>
        <v>0.354845428824356</v>
      </c>
      <c r="Z14" s="24" t="s">
        <v>726</v>
      </c>
      <c r="AA14" s="31"/>
    </row>
    <row r="15" ht="37" customHeight="1" spans="1:27">
      <c r="A15" s="31"/>
      <c r="B15" s="31"/>
      <c r="C15" s="29" t="s">
        <v>361</v>
      </c>
      <c r="D15" s="29" t="s">
        <v>98</v>
      </c>
      <c r="E15" s="32" t="s">
        <v>723</v>
      </c>
      <c r="F15" s="31" t="s">
        <v>724</v>
      </c>
      <c r="G15" s="31"/>
      <c r="H15" s="34">
        <v>45500</v>
      </c>
      <c r="I15" s="32"/>
      <c r="J15" s="24" t="s">
        <v>725</v>
      </c>
      <c r="K15" s="26">
        <v>900</v>
      </c>
      <c r="L15" s="43">
        <v>371.68</v>
      </c>
      <c r="M15" s="43">
        <v>576.11</v>
      </c>
      <c r="N15" s="41">
        <f t="shared" si="9"/>
        <v>204.43</v>
      </c>
      <c r="O15" s="42">
        <f t="shared" si="10"/>
        <v>0.354845428824356</v>
      </c>
      <c r="P15" s="31">
        <f>M15*0.05</f>
        <v>28.8055</v>
      </c>
      <c r="Q15" s="57">
        <f t="shared" si="11"/>
        <v>25924.95</v>
      </c>
      <c r="R15" s="58">
        <f t="shared" si="12"/>
        <v>0.05</v>
      </c>
      <c r="S15" s="59">
        <f t="shared" si="13"/>
        <v>0.304845428824356</v>
      </c>
      <c r="T15" s="60">
        <f t="shared" si="14"/>
        <v>0.22</v>
      </c>
      <c r="U15" s="61">
        <v>0.06</v>
      </c>
      <c r="V15" s="62">
        <f t="shared" si="15"/>
        <v>0.21</v>
      </c>
      <c r="W15" s="31"/>
      <c r="X15" s="31"/>
      <c r="Y15" s="68">
        <f t="shared" si="16"/>
        <v>0.354845428824356</v>
      </c>
      <c r="Z15" s="24"/>
      <c r="AA15" s="31"/>
    </row>
    <row r="16" ht="37" customHeight="1" spans="1:27">
      <c r="A16" s="31"/>
      <c r="B16" s="31"/>
      <c r="C16" s="29" t="s">
        <v>361</v>
      </c>
      <c r="D16" s="29" t="s">
        <v>98</v>
      </c>
      <c r="E16" s="32" t="s">
        <v>727</v>
      </c>
      <c r="F16" s="31" t="s">
        <v>724</v>
      </c>
      <c r="G16" s="31"/>
      <c r="H16" s="34">
        <v>45321</v>
      </c>
      <c r="I16" s="32"/>
      <c r="J16" s="24" t="s">
        <v>728</v>
      </c>
      <c r="K16" s="26">
        <v>17</v>
      </c>
      <c r="L16" s="43">
        <v>2535.4</v>
      </c>
      <c r="M16" s="43">
        <v>3360</v>
      </c>
      <c r="N16" s="41">
        <f t="shared" ref="N16:N23" si="17">M16-L16</f>
        <v>824.6</v>
      </c>
      <c r="O16" s="42">
        <f t="shared" ref="O16:O23" si="18">IF(AND($N16&lt;&gt;0,$M16&lt;&gt;0),$N16/$M16,"")</f>
        <v>0.245416666666667</v>
      </c>
      <c r="P16" s="31">
        <v>20</v>
      </c>
      <c r="Q16" s="57">
        <f t="shared" ref="Q16:Q21" si="19">P16*K16</f>
        <v>340</v>
      </c>
      <c r="R16" s="58">
        <f t="shared" si="12"/>
        <v>0.00595238095238095</v>
      </c>
      <c r="S16" s="59">
        <f t="shared" si="13"/>
        <v>0.239464285714286</v>
      </c>
      <c r="T16" s="60">
        <f t="shared" ref="T16:T21" si="20">IF($C16="深圳福达通",22%,IF($C16="康为",26%,IF($C16="新浪潮",26%,IF($C16="湖南飞英达",25%,IF($C16="志奋领",26%)))))</f>
        <v>0.22</v>
      </c>
      <c r="U16" s="61">
        <v>0.06</v>
      </c>
      <c r="V16" s="62">
        <f t="shared" ref="V16:V21" si="21">IF(T16-U16+R16&gt;0,T16-U16+R16,IF(T16-U16+R16=0,""))</f>
        <v>0.165952380952381</v>
      </c>
      <c r="W16" s="31"/>
      <c r="X16" s="31"/>
      <c r="Y16" s="68">
        <f t="shared" si="16"/>
        <v>0.245416666666667</v>
      </c>
      <c r="Z16" s="31" t="s">
        <v>729</v>
      </c>
      <c r="AA16" s="31"/>
    </row>
    <row r="17" ht="37" customHeight="1" spans="1:27">
      <c r="A17" s="31"/>
      <c r="B17" s="31"/>
      <c r="C17" s="29" t="s">
        <v>361</v>
      </c>
      <c r="D17" s="29" t="s">
        <v>98</v>
      </c>
      <c r="E17" s="32" t="s">
        <v>727</v>
      </c>
      <c r="F17" s="31" t="s">
        <v>724</v>
      </c>
      <c r="G17" s="31"/>
      <c r="H17" s="33">
        <v>45389</v>
      </c>
      <c r="I17" s="31"/>
      <c r="J17" s="24" t="s">
        <v>730</v>
      </c>
      <c r="K17" s="26">
        <v>44</v>
      </c>
      <c r="L17" s="43">
        <v>1619.47</v>
      </c>
      <c r="M17" s="43">
        <v>2428.64</v>
      </c>
      <c r="N17" s="41">
        <f t="shared" si="17"/>
        <v>809.17</v>
      </c>
      <c r="O17" s="42">
        <f t="shared" si="18"/>
        <v>0.333178239673233</v>
      </c>
      <c r="P17" s="31">
        <v>20</v>
      </c>
      <c r="Q17" s="57">
        <f t="shared" si="19"/>
        <v>880</v>
      </c>
      <c r="R17" s="58">
        <f>IF(AND($P17&lt;&gt;0,$L17&lt;&gt;0),$P17/$L17,"")</f>
        <v>0.0123497193526277</v>
      </c>
      <c r="S17" s="59">
        <f>IF(AND(($N17*$K17-$Q17)&lt;&gt;0,($L17*$K17)&lt;&gt;0),($N17*$K17-$Q17)/($L17*$K17),"")</f>
        <v>0.48730140107566</v>
      </c>
      <c r="T17" s="60">
        <f t="shared" si="20"/>
        <v>0.22</v>
      </c>
      <c r="U17" s="61">
        <v>0.06</v>
      </c>
      <c r="V17" s="62">
        <f t="shared" si="21"/>
        <v>0.172349719352628</v>
      </c>
      <c r="W17" s="31"/>
      <c r="X17" s="31"/>
      <c r="Y17" s="68">
        <f>IF(AND(($N17*$K17-$X17)&lt;&gt;0,($L17*$K17)&lt;&gt;0),($N17*$K17-$X17)/($L17*$K17),"")</f>
        <v>0.499651120428288</v>
      </c>
      <c r="Z17" s="73" t="s">
        <v>731</v>
      </c>
      <c r="AA17" s="31"/>
    </row>
    <row r="18" ht="37" customHeight="1" spans="1:27">
      <c r="A18" s="31"/>
      <c r="B18" s="31"/>
      <c r="C18" s="29" t="s">
        <v>361</v>
      </c>
      <c r="D18" s="29" t="s">
        <v>98</v>
      </c>
      <c r="E18" s="32" t="s">
        <v>727</v>
      </c>
      <c r="F18" s="31" t="s">
        <v>724</v>
      </c>
      <c r="G18" s="31"/>
      <c r="H18" s="33">
        <v>45433</v>
      </c>
      <c r="I18" s="31"/>
      <c r="J18" s="24" t="s">
        <v>732</v>
      </c>
      <c r="K18" s="26">
        <v>277</v>
      </c>
      <c r="L18" s="43">
        <v>425</v>
      </c>
      <c r="M18" s="43">
        <v>699</v>
      </c>
      <c r="N18" s="41">
        <f t="shared" si="17"/>
        <v>274</v>
      </c>
      <c r="O18" s="42">
        <f t="shared" si="18"/>
        <v>0.391988555078684</v>
      </c>
      <c r="P18" s="31">
        <v>10</v>
      </c>
      <c r="Q18" s="57">
        <f t="shared" si="19"/>
        <v>2770</v>
      </c>
      <c r="R18" s="58">
        <f>IF(AND($P18&lt;&gt;0,$L18&lt;&gt;0),$P18/$L18,"")</f>
        <v>0.0235294117647059</v>
      </c>
      <c r="S18" s="59">
        <f>IF(AND(($N18*$K18-$Q18)&lt;&gt;0,($L18*$K18)&lt;&gt;0),($N18*$K18-$Q18)/($L18*$K18),"")</f>
        <v>0.621176470588235</v>
      </c>
      <c r="T18" s="60">
        <f t="shared" si="20"/>
        <v>0.22</v>
      </c>
      <c r="U18" s="61">
        <v>1.06</v>
      </c>
      <c r="V18" s="62" t="b">
        <f t="shared" si="21"/>
        <v>0</v>
      </c>
      <c r="W18" s="31"/>
      <c r="X18" s="31"/>
      <c r="Y18" s="68">
        <f>IF(AND(($N18*$K18-$X18)&lt;&gt;0,($L18*$K18)&lt;&gt;0),($N18*$K18-$X18)/($L18*$K18),"")</f>
        <v>0.644705882352941</v>
      </c>
      <c r="Z18" s="73" t="s">
        <v>733</v>
      </c>
      <c r="AA18" s="31"/>
    </row>
    <row r="19" ht="24" spans="1:27">
      <c r="A19" s="31"/>
      <c r="B19" s="31"/>
      <c r="C19" s="29" t="s">
        <v>361</v>
      </c>
      <c r="D19" s="29" t="s">
        <v>98</v>
      </c>
      <c r="E19" s="32" t="s">
        <v>734</v>
      </c>
      <c r="F19" s="31" t="s">
        <v>724</v>
      </c>
      <c r="G19" s="31"/>
      <c r="H19" s="33">
        <v>45406</v>
      </c>
      <c r="I19" s="31"/>
      <c r="J19" s="24" t="s">
        <v>735</v>
      </c>
      <c r="K19" s="26">
        <v>106</v>
      </c>
      <c r="L19" s="43">
        <v>922.12</v>
      </c>
      <c r="M19" s="43">
        <v>1415.93</v>
      </c>
      <c r="N19" s="41">
        <f t="shared" si="17"/>
        <v>493.81</v>
      </c>
      <c r="O19" s="42">
        <f t="shared" si="18"/>
        <v>0.348753116326372</v>
      </c>
      <c r="P19" s="31">
        <v>20</v>
      </c>
      <c r="Q19" s="57">
        <f t="shared" si="19"/>
        <v>2120</v>
      </c>
      <c r="R19" s="58">
        <f>IF(AND($P19&lt;&gt;0,$M19&lt;&gt;0),$P19/$M19,"")</f>
        <v>0.014124992054692</v>
      </c>
      <c r="S19" s="59">
        <f>IF(AND(($N19*$K19-$Q19)&lt;&gt;0,($M19*$K19)&lt;&gt;0),($N19*$K19-$Q19)/($M19*$K19),"")</f>
        <v>0.33462812427168</v>
      </c>
      <c r="T19" s="60">
        <f t="shared" si="20"/>
        <v>0.22</v>
      </c>
      <c r="U19" s="61">
        <v>0.06</v>
      </c>
      <c r="V19" s="62">
        <f t="shared" si="21"/>
        <v>0.174124992054692</v>
      </c>
      <c r="W19" s="31"/>
      <c r="X19" s="31"/>
      <c r="Y19" s="68">
        <f>IF(AND(($N19*$K19-$X19)&lt;&gt;0,($M19*$K19)&lt;&gt;0),($N19*$K19-$X19)/($M19*$K19),"")</f>
        <v>0.348753116326372</v>
      </c>
      <c r="Z19" s="31">
        <v>5017649445</v>
      </c>
      <c r="AA19" s="31"/>
    </row>
    <row r="20" ht="24" spans="1:27">
      <c r="A20" s="31"/>
      <c r="B20" s="31"/>
      <c r="C20" s="29" t="s">
        <v>361</v>
      </c>
      <c r="D20" s="29" t="s">
        <v>98</v>
      </c>
      <c r="E20" s="32" t="s">
        <v>736</v>
      </c>
      <c r="F20" s="31" t="s">
        <v>724</v>
      </c>
      <c r="G20" s="31"/>
      <c r="H20" s="33"/>
      <c r="I20" s="31"/>
      <c r="J20" s="24" t="s">
        <v>735</v>
      </c>
      <c r="K20" s="26">
        <v>100</v>
      </c>
      <c r="L20" s="43">
        <v>1039.82</v>
      </c>
      <c r="M20" s="43">
        <v>1415.93</v>
      </c>
      <c r="N20" s="41">
        <f t="shared" si="17"/>
        <v>376.11</v>
      </c>
      <c r="O20" s="42">
        <f t="shared" si="18"/>
        <v>0.26562753808451</v>
      </c>
      <c r="P20" s="31">
        <v>20</v>
      </c>
      <c r="Q20" s="57">
        <f t="shared" si="19"/>
        <v>2000</v>
      </c>
      <c r="R20" s="58">
        <f>IF(AND($P20&lt;&gt;0,$L20&lt;&gt;0),$P20/$L20,"")</f>
        <v>0.0192340982093055</v>
      </c>
      <c r="S20" s="59">
        <f>IF(AND(($N20*$K20-$Q20)&lt;&gt;0,($M20*$K20)&lt;&gt;0),($N20*$K20-$Q20)/($M20*$K20),"")</f>
        <v>0.251502546029818</v>
      </c>
      <c r="T20" s="60">
        <f t="shared" si="20"/>
        <v>0.22</v>
      </c>
      <c r="U20" s="61">
        <v>0.06</v>
      </c>
      <c r="V20" s="62">
        <f t="shared" si="21"/>
        <v>0.179234098209305</v>
      </c>
      <c r="W20" s="31"/>
      <c r="X20" s="31"/>
      <c r="Y20" s="68">
        <f>IF(AND(($N20*$K20-$X20)&lt;&gt;0,($M20*$K20)&lt;&gt;0),($N20*$K20-$X20)/($M20*$K20),"")</f>
        <v>0.26562753808451</v>
      </c>
      <c r="Z20" s="73" t="s">
        <v>737</v>
      </c>
      <c r="AA20" s="31"/>
    </row>
    <row r="21" ht="35" customHeight="1" spans="1:27">
      <c r="A21" s="31"/>
      <c r="B21" s="31"/>
      <c r="C21" s="29" t="s">
        <v>361</v>
      </c>
      <c r="D21" s="29" t="s">
        <v>98</v>
      </c>
      <c r="E21" s="32" t="s">
        <v>738</v>
      </c>
      <c r="F21" s="31" t="s">
        <v>724</v>
      </c>
      <c r="G21" s="31"/>
      <c r="H21" s="33">
        <v>45364</v>
      </c>
      <c r="I21" s="31"/>
      <c r="J21" s="24" t="s">
        <v>739</v>
      </c>
      <c r="K21" s="26">
        <v>151</v>
      </c>
      <c r="L21" s="43">
        <v>2522.12</v>
      </c>
      <c r="M21" s="43">
        <v>2900.85</v>
      </c>
      <c r="N21" s="41">
        <f t="shared" si="17"/>
        <v>378.73</v>
      </c>
      <c r="O21" s="42">
        <f t="shared" si="18"/>
        <v>0.130558284640709</v>
      </c>
      <c r="P21" s="31">
        <v>10</v>
      </c>
      <c r="Q21" s="57">
        <f t="shared" si="19"/>
        <v>1510</v>
      </c>
      <c r="R21" s="58">
        <f>IF(AND($P21&lt;&gt;0,$M21&lt;&gt;0),$P21/$M21,"")</f>
        <v>0.00344726545667649</v>
      </c>
      <c r="S21" s="59">
        <f>IF(AND(($N21*$K21-$Q21)&lt;&gt;0,($M21*$K21)&lt;&gt;0),($N21*$K21-$Q21)/($M21*$K21),"")</f>
        <v>0.127111019184032</v>
      </c>
      <c r="T21" s="60">
        <f t="shared" si="20"/>
        <v>0.22</v>
      </c>
      <c r="U21" s="61">
        <v>0.06</v>
      </c>
      <c r="V21" s="62">
        <f t="shared" si="21"/>
        <v>0.163447265456676</v>
      </c>
      <c r="W21" s="31"/>
      <c r="X21" s="31"/>
      <c r="Y21" s="68">
        <f>IF(AND(($N21*$K21-$X21)&lt;&gt;0,($M21*$K21)&lt;&gt;0),($N21*$K21-$X21)/($M21*$K21),"")</f>
        <v>0.130558284640709</v>
      </c>
      <c r="Z21" s="73" t="s">
        <v>740</v>
      </c>
      <c r="AA21" s="31"/>
    </row>
    <row r="22" ht="19" customHeight="1" spans="1:25">
      <c r="A22" s="31"/>
      <c r="B22" s="31"/>
      <c r="C22" s="29" t="s">
        <v>361</v>
      </c>
      <c r="D22" s="29" t="s">
        <v>98</v>
      </c>
      <c r="E22" s="32" t="s">
        <v>741</v>
      </c>
      <c r="F22" s="31"/>
      <c r="G22" s="31"/>
      <c r="H22" s="31"/>
      <c r="I22" s="31"/>
      <c r="J22" s="24" t="s">
        <v>742</v>
      </c>
      <c r="K22" s="26"/>
      <c r="L22" s="43"/>
      <c r="M22" s="43"/>
      <c r="N22" s="41">
        <f t="shared" si="17"/>
        <v>0</v>
      </c>
      <c r="O22" s="42" t="str">
        <f t="shared" si="18"/>
        <v/>
      </c>
      <c r="P22" s="31"/>
      <c r="Q22" s="31"/>
      <c r="R22" s="58"/>
      <c r="S22" s="59"/>
      <c r="T22" s="60"/>
      <c r="U22" s="61"/>
      <c r="V22" s="62"/>
      <c r="W22" s="31"/>
      <c r="X22" s="31"/>
      <c r="Y22" s="68" t="str">
        <f>IF(AND(($N22*$K22-$X22)&lt;&gt;0,($M22*$K22)&lt;&gt;0),($N22*$K22-$X22)/($M22*$K22),"")</f>
        <v/>
      </c>
    </row>
    <row r="23" ht="19" customHeight="1" spans="1:26">
      <c r="A23" s="31"/>
      <c r="B23" s="31"/>
      <c r="C23" s="29" t="s">
        <v>361</v>
      </c>
      <c r="D23" s="29" t="s">
        <v>98</v>
      </c>
      <c r="E23" s="32" t="s">
        <v>743</v>
      </c>
      <c r="F23" s="31"/>
      <c r="G23" s="31"/>
      <c r="H23" s="31"/>
      <c r="I23" s="31"/>
      <c r="J23" s="24" t="s">
        <v>744</v>
      </c>
      <c r="K23" s="26">
        <v>8</v>
      </c>
      <c r="L23" s="43">
        <v>469.03</v>
      </c>
      <c r="M23" s="43">
        <v>1017.69</v>
      </c>
      <c r="N23" s="41">
        <f t="shared" si="17"/>
        <v>548.66</v>
      </c>
      <c r="O23" s="42">
        <f t="shared" si="18"/>
        <v>0.539122915622636</v>
      </c>
      <c r="P23" s="31">
        <v>100</v>
      </c>
      <c r="Q23" s="31">
        <v>800</v>
      </c>
      <c r="R23" s="58">
        <f>IF(AND($P23&lt;&gt;0,$M23&lt;&gt;0),$P23/$M23,"")</f>
        <v>0.0982617496487142</v>
      </c>
      <c r="S23" s="59">
        <f>IF(AND(($N23*$K23-$Q23)&lt;&gt;0,($M23*$K23)&lt;&gt;0),($N23*$K23-$Q23)/($M23*$K23),"")</f>
        <v>0.440861165973921</v>
      </c>
      <c r="T23" s="60">
        <f>IF($C23="深圳福达通",22%,IF($C23="康为",26%,IF($C23="新浪潮",26%,IF($C23="湖南飞英达",25%,IF($C23="志奋领",26%)))))</f>
        <v>0.22</v>
      </c>
      <c r="U23" s="61">
        <v>2.06</v>
      </c>
      <c r="V23" s="62" t="b">
        <f>IF(T23-U23+R23&gt;0,T23-U23+R23,IF(T23-U23+R23=0,""))</f>
        <v>0</v>
      </c>
      <c r="W23" s="31"/>
      <c r="X23" s="31"/>
      <c r="Y23" s="68">
        <f>IF(AND(($N23*$K23-$X23)&lt;&gt;0,($M23*$K23)&lt;&gt;0),($N23*$K23-$X23)/($M23*$K23),"")</f>
        <v>0.539122915622636</v>
      </c>
      <c r="Z23" s="17" t="s">
        <v>745</v>
      </c>
    </row>
  </sheetData>
  <mergeCells count="3">
    <mergeCell ref="A1:R2"/>
    <mergeCell ref="S1:W2"/>
    <mergeCell ref="X1:Z2"/>
  </mergeCells>
  <conditionalFormatting sqref="V3">
    <cfRule type="expression" dxfId="1" priority="79">
      <formula>$V3&gt;$S3</formula>
    </cfRule>
  </conditionalFormatting>
  <conditionalFormatting sqref="W3">
    <cfRule type="cellIs" dxfId="0" priority="78" operator="lessThan">
      <formula>0</formula>
    </cfRule>
  </conditionalFormatting>
  <conditionalFormatting sqref="W6">
    <cfRule type="cellIs" dxfId="0" priority="1" operator="lessThan">
      <formula>0</formula>
    </cfRule>
  </conditionalFormatting>
  <conditionalFormatting sqref="W4:W5">
    <cfRule type="cellIs" dxfId="0" priority="77" operator="lessThan">
      <formula>0</formula>
    </cfRule>
  </conditionalFormatting>
  <dataValidations count="1">
    <dataValidation type="list" allowBlank="1" showInputMessage="1" showErrorMessage="1" sqref="C1:C11 C12:C13 C14:C23">
      <formula1>"深圳福达通,康为,新浪潮,湖南飞英达,志奋领"</formula1>
    </dataValidation>
  </dataValidations>
  <pageMargins left="0.75" right="0.75" top="1" bottom="1" header="0.5" footer="0.5"/>
  <headerFooter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zoomScale="85" zoomScaleNormal="85" workbookViewId="0">
      <selection activeCell="G13" sqref="G13"/>
    </sheetView>
  </sheetViews>
  <sheetFormatPr defaultColWidth="9" defaultRowHeight="14"/>
  <cols>
    <col min="1" max="1" width="10.75" customWidth="1"/>
    <col min="2" max="2" width="24.1083333333333" customWidth="1"/>
    <col min="3" max="3" width="8.71666666666667" style="1" customWidth="1"/>
    <col min="4" max="4" width="10.2916666666667" customWidth="1"/>
    <col min="5" max="5" width="9.6" customWidth="1"/>
    <col min="6" max="6" width="9.00833333333333" customWidth="1"/>
    <col min="7" max="7" width="8.81666666666667" customWidth="1"/>
    <col min="8" max="8" width="12.5" customWidth="1"/>
    <col min="9" max="9" width="15.9166666666667" customWidth="1"/>
  </cols>
  <sheetData>
    <row r="1" spans="1:9">
      <c r="A1" s="2" t="s">
        <v>746</v>
      </c>
      <c r="B1" s="2" t="s">
        <v>747</v>
      </c>
      <c r="C1" s="3" t="s">
        <v>748</v>
      </c>
      <c r="D1" s="4" t="s">
        <v>749</v>
      </c>
      <c r="E1" s="5" t="s">
        <v>750</v>
      </c>
      <c r="F1" s="6"/>
      <c r="G1" s="6"/>
      <c r="H1" s="6"/>
      <c r="I1" s="6"/>
    </row>
    <row r="2" spans="1:9">
      <c r="A2" s="2" t="s">
        <v>751</v>
      </c>
      <c r="B2" s="7">
        <v>1329809</v>
      </c>
      <c r="C2" s="3">
        <f>B2*0.03</f>
        <v>39894.27</v>
      </c>
      <c r="D2" s="8">
        <v>20000</v>
      </c>
      <c r="E2" s="3">
        <f>C2-D2</f>
        <v>19894.27</v>
      </c>
      <c r="F2" s="9"/>
      <c r="G2" s="10"/>
      <c r="H2" s="9"/>
      <c r="I2" s="10"/>
    </row>
    <row r="3" customFormat="1" spans="2:9">
      <c r="B3" s="11"/>
      <c r="C3" s="12"/>
      <c r="E3" s="13"/>
      <c r="F3" s="6"/>
      <c r="G3" s="6"/>
      <c r="H3" s="6"/>
      <c r="I3" s="6"/>
    </row>
    <row r="4" spans="1:9">
      <c r="A4" s="2" t="s">
        <v>746</v>
      </c>
      <c r="B4" s="7" t="s">
        <v>752</v>
      </c>
      <c r="C4" s="3" t="s">
        <v>748</v>
      </c>
      <c r="D4" s="4" t="s">
        <v>749</v>
      </c>
      <c r="E4" s="5" t="s">
        <v>750</v>
      </c>
      <c r="F4" s="6"/>
      <c r="G4" s="6"/>
      <c r="H4" s="6"/>
      <c r="I4" s="6"/>
    </row>
    <row r="5" spans="1:9">
      <c r="A5" s="2" t="s">
        <v>751</v>
      </c>
      <c r="B5" s="7">
        <v>728389</v>
      </c>
      <c r="C5" s="3">
        <f>B5*0.03</f>
        <v>21851.67</v>
      </c>
      <c r="D5" s="8">
        <v>10000</v>
      </c>
      <c r="E5" s="3">
        <f>C5-D5</f>
        <v>11851.67</v>
      </c>
      <c r="F5" s="6"/>
      <c r="G5" s="6"/>
      <c r="H5" s="6"/>
      <c r="I5" s="6"/>
    </row>
    <row r="6" customFormat="1" spans="2:3">
      <c r="B6" s="11"/>
      <c r="C6" s="12"/>
    </row>
    <row r="7" ht="15" spans="1:7">
      <c r="A7" s="2"/>
      <c r="B7" s="7" t="s">
        <v>753</v>
      </c>
      <c r="C7" s="3" t="s">
        <v>754</v>
      </c>
      <c r="D7" s="14" t="s">
        <v>755</v>
      </c>
      <c r="E7" s="14" t="s">
        <v>756</v>
      </c>
      <c r="F7" s="14" t="s">
        <v>757</v>
      </c>
      <c r="G7" s="5" t="s">
        <v>750</v>
      </c>
    </row>
    <row r="8" spans="1:7">
      <c r="A8" s="2" t="s">
        <v>758</v>
      </c>
      <c r="B8" s="7">
        <v>6792978</v>
      </c>
      <c r="C8" s="3">
        <f>B8*0.02</f>
        <v>135859.56</v>
      </c>
      <c r="D8" s="15">
        <v>20000</v>
      </c>
      <c r="E8" s="4">
        <v>20000</v>
      </c>
      <c r="F8" s="4">
        <v>40000</v>
      </c>
      <c r="G8" s="3">
        <f>C8-D8-E8-F8</f>
        <v>55859.56</v>
      </c>
    </row>
    <row r="9" spans="3:3">
      <c r="C9" s="12"/>
    </row>
    <row r="10" spans="2:4">
      <c r="B10" s="2" t="s">
        <v>759</v>
      </c>
      <c r="C10" s="3" t="s">
        <v>760</v>
      </c>
      <c r="D10" s="4" t="s">
        <v>761</v>
      </c>
    </row>
    <row r="11" spans="2:4">
      <c r="B11" s="2">
        <v>403110</v>
      </c>
      <c r="C11" s="3">
        <f>B11+B13</f>
        <v>535386.99</v>
      </c>
      <c r="D11" s="2">
        <v>5000</v>
      </c>
    </row>
    <row r="12" spans="2:4">
      <c r="B12" s="2" t="s">
        <v>762</v>
      </c>
      <c r="C12" s="3"/>
      <c r="D12" s="2"/>
    </row>
    <row r="13" spans="2:4">
      <c r="B13" s="2">
        <v>132276.99</v>
      </c>
      <c r="C13" s="3"/>
      <c r="D13" s="2"/>
    </row>
    <row r="14" spans="3:3">
      <c r="C14" s="12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商务费用报备申请单</vt:lpstr>
      <vt:lpstr>龙志荣0504</vt:lpstr>
      <vt:lpstr>平兴燕0504</vt:lpstr>
      <vt:lpstr>其它</vt:lpstr>
      <vt:lpstr>0504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27422</dc:creator>
  <cp:lastModifiedBy>e</cp:lastModifiedBy>
  <dcterms:created xsi:type="dcterms:W3CDTF">2023-05-15T16:12:00Z</dcterms:created>
  <dcterms:modified xsi:type="dcterms:W3CDTF">2024-10-25T05:49:06Z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69B17A5140E04A7EAE3C33A22A569F74_13</vt:lpwstr>
  </property>
  <property fmtid="{D5CDD505-2E9C-101B-9397-08002B2CF9AE}" pid="3" name="KSOProductBuildVer">
    <vt:lpwstr>2052-12.1.0.18608</vt:lpwstr>
  </property>
  <property fmtid="{D5CDD505-2E9C-101B-9397-08002B2CF9AE}" pid="4" name="KSOReadingLayout">
    <vt:bool>true</vt:bool>
  </property>
</Properties>
</file>